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6" windowWidth="15480" windowHeight="11640"/>
  </bookViews>
  <sheets>
    <sheet name="каз.яз." sheetId="4" r:id="rId1"/>
  </sheets>
  <definedNames>
    <definedName name="_xlnm.Print_Titles" localSheetId="0">каз.яз.!$2:$4</definedName>
    <definedName name="_xlnm.Print_Area" localSheetId="0">каз.яз.!$A$1:$I$112</definedName>
  </definedNames>
  <calcPr calcId="124519"/>
</workbook>
</file>

<file path=xl/calcChain.xml><?xml version="1.0" encoding="utf-8"?>
<calcChain xmlns="http://schemas.openxmlformats.org/spreadsheetml/2006/main">
  <c r="D90" i="4"/>
  <c r="D89"/>
  <c r="D88"/>
  <c r="D87"/>
  <c r="D86"/>
  <c r="D85"/>
  <c r="D84"/>
  <c r="D83"/>
  <c r="D82"/>
  <c r="D81"/>
  <c r="D80"/>
  <c r="D75"/>
  <c r="D74"/>
  <c r="D73"/>
  <c r="D67"/>
  <c r="D66"/>
  <c r="D65"/>
  <c r="D64"/>
  <c r="D63"/>
  <c r="D62"/>
  <c r="D61"/>
  <c r="D60"/>
  <c r="D59"/>
  <c r="D58"/>
  <c r="D57"/>
  <c r="D56"/>
  <c r="D52"/>
  <c r="D51"/>
  <c r="D50"/>
  <c r="D49"/>
  <c r="D48"/>
  <c r="D47"/>
  <c r="D46"/>
  <c r="D45"/>
  <c r="D44"/>
  <c r="D43"/>
  <c r="D42"/>
  <c r="D41"/>
  <c r="D40"/>
  <c r="D39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G16" l="1"/>
  <c r="F16"/>
  <c r="E16"/>
  <c r="G15"/>
  <c r="F15"/>
  <c r="E15"/>
  <c r="G14"/>
  <c r="F14"/>
  <c r="E14"/>
  <c r="G13"/>
  <c r="F13"/>
  <c r="E13"/>
  <c r="D12"/>
  <c r="G12" s="1"/>
  <c r="D11"/>
  <c r="G11" s="1"/>
  <c r="D10"/>
  <c r="G10" s="1"/>
  <c r="D9"/>
  <c r="G9" s="1"/>
  <c r="C9"/>
  <c r="G8"/>
  <c r="E8"/>
  <c r="D8"/>
  <c r="F8" s="1"/>
  <c r="G7"/>
  <c r="E7"/>
  <c r="D7"/>
  <c r="F7" s="1"/>
  <c r="F9" l="1"/>
  <c r="F10"/>
  <c r="F11"/>
  <c r="F12"/>
  <c r="E9"/>
  <c r="E10"/>
  <c r="E11"/>
  <c r="E12"/>
  <c r="C105"/>
  <c r="F104"/>
  <c r="G103"/>
  <c r="F103"/>
  <c r="E103"/>
  <c r="G102"/>
  <c r="F102"/>
  <c r="E102"/>
  <c r="G101"/>
  <c r="F101"/>
  <c r="E101"/>
  <c r="G100"/>
  <c r="F100"/>
  <c r="E100"/>
  <c r="G99"/>
  <c r="F99"/>
  <c r="E99"/>
  <c r="G98"/>
  <c r="F98"/>
  <c r="E98"/>
  <c r="G97"/>
  <c r="F97"/>
  <c r="E97"/>
  <c r="G96"/>
  <c r="F96"/>
  <c r="E96"/>
  <c r="D105"/>
  <c r="H93"/>
  <c r="D93"/>
  <c r="C93"/>
  <c r="F92"/>
  <c r="G91"/>
  <c r="F91"/>
  <c r="E91"/>
  <c r="G90"/>
  <c r="F90"/>
  <c r="E90"/>
  <c r="G89"/>
  <c r="F89"/>
  <c r="E89"/>
  <c r="G88"/>
  <c r="F88"/>
  <c r="E88"/>
  <c r="G87"/>
  <c r="F87"/>
  <c r="E87"/>
  <c r="G86"/>
  <c r="F86"/>
  <c r="E86"/>
  <c r="G85"/>
  <c r="F85"/>
  <c r="E85"/>
  <c r="G84"/>
  <c r="F84"/>
  <c r="E84"/>
  <c r="G83"/>
  <c r="F83"/>
  <c r="E83"/>
  <c r="G82"/>
  <c r="F82"/>
  <c r="E82"/>
  <c r="G81"/>
  <c r="F81"/>
  <c r="E81"/>
  <c r="G80"/>
  <c r="F80"/>
  <c r="E80"/>
  <c r="H78"/>
  <c r="C78"/>
  <c r="G77"/>
  <c r="F77"/>
  <c r="E77"/>
  <c r="G76"/>
  <c r="F76"/>
  <c r="E76"/>
  <c r="G75"/>
  <c r="F75"/>
  <c r="E75"/>
  <c r="G74"/>
  <c r="F74"/>
  <c r="E74"/>
  <c r="F73"/>
  <c r="C71"/>
  <c r="F70"/>
  <c r="F69"/>
  <c r="F68"/>
  <c r="D71"/>
  <c r="G66"/>
  <c r="F66"/>
  <c r="E66"/>
  <c r="G65"/>
  <c r="F65"/>
  <c r="E65"/>
  <c r="G64"/>
  <c r="F64"/>
  <c r="E64"/>
  <c r="G63"/>
  <c r="F63"/>
  <c r="E63"/>
  <c r="G62"/>
  <c r="F62"/>
  <c r="E62"/>
  <c r="G61"/>
  <c r="F61"/>
  <c r="E61"/>
  <c r="G60"/>
  <c r="F60"/>
  <c r="E60"/>
  <c r="G59"/>
  <c r="F59"/>
  <c r="E59"/>
  <c r="G58"/>
  <c r="F58"/>
  <c r="E58"/>
  <c r="G57"/>
  <c r="F57"/>
  <c r="E57"/>
  <c r="G56"/>
  <c r="F56"/>
  <c r="E56"/>
  <c r="H54"/>
  <c r="D54"/>
  <c r="C54"/>
  <c r="G53"/>
  <c r="F53"/>
  <c r="E53"/>
  <c r="G52"/>
  <c r="F52"/>
  <c r="E52"/>
  <c r="G51"/>
  <c r="F51"/>
  <c r="E51"/>
  <c r="G50"/>
  <c r="F50"/>
  <c r="E50"/>
  <c r="G49"/>
  <c r="F49"/>
  <c r="E49"/>
  <c r="G48"/>
  <c r="F48"/>
  <c r="E48"/>
  <c r="G47"/>
  <c r="F47"/>
  <c r="E47"/>
  <c r="G46"/>
  <c r="F46"/>
  <c r="E46"/>
  <c r="G45"/>
  <c r="F45"/>
  <c r="E45"/>
  <c r="G44"/>
  <c r="F44"/>
  <c r="E44"/>
  <c r="G43"/>
  <c r="F43"/>
  <c r="E43"/>
  <c r="G42"/>
  <c r="F42"/>
  <c r="E42"/>
  <c r="G41"/>
  <c r="F41"/>
  <c r="E41"/>
  <c r="G40"/>
  <c r="F40"/>
  <c r="E40"/>
  <c r="G39"/>
  <c r="F39"/>
  <c r="E39"/>
  <c r="D37"/>
  <c r="C37"/>
  <c r="G36"/>
  <c r="F36"/>
  <c r="E36"/>
  <c r="G35"/>
  <c r="F35"/>
  <c r="E35"/>
  <c r="G34"/>
  <c r="F34"/>
  <c r="E34"/>
  <c r="G33"/>
  <c r="F33"/>
  <c r="E33"/>
  <c r="G32"/>
  <c r="F32"/>
  <c r="E32"/>
  <c r="G31"/>
  <c r="F31"/>
  <c r="E31"/>
  <c r="G30"/>
  <c r="F30"/>
  <c r="E30"/>
  <c r="G29"/>
  <c r="F29"/>
  <c r="E29"/>
  <c r="G28"/>
  <c r="F28"/>
  <c r="E28"/>
  <c r="G27"/>
  <c r="F27"/>
  <c r="E27"/>
  <c r="G26"/>
  <c r="F26"/>
  <c r="E26"/>
  <c r="G25"/>
  <c r="F25"/>
  <c r="E25"/>
  <c r="G24"/>
  <c r="F24"/>
  <c r="E24"/>
  <c r="G23"/>
  <c r="F23"/>
  <c r="E23"/>
  <c r="G22"/>
  <c r="F22"/>
  <c r="E22"/>
  <c r="G21"/>
  <c r="F21"/>
  <c r="E21"/>
  <c r="G20"/>
  <c r="F20"/>
  <c r="E20"/>
  <c r="G19"/>
  <c r="F19"/>
  <c r="E19"/>
  <c r="E37" s="1"/>
  <c r="H17"/>
  <c r="D17"/>
  <c r="G37" l="1"/>
  <c r="E17"/>
  <c r="C17"/>
  <c r="F37"/>
  <c r="F54"/>
  <c r="E95"/>
  <c r="G95"/>
  <c r="F93"/>
  <c r="F71"/>
  <c r="G71"/>
  <c r="E71"/>
  <c r="G105"/>
  <c r="E105"/>
  <c r="F105"/>
  <c r="F17"/>
  <c r="E54"/>
  <c r="G54"/>
  <c r="F67"/>
  <c r="E73"/>
  <c r="G73"/>
  <c r="D78"/>
  <c r="D5" s="1"/>
  <c r="E93"/>
  <c r="G93"/>
  <c r="F95"/>
  <c r="C106"/>
  <c r="G106" s="1"/>
  <c r="G17" l="1"/>
  <c r="C5"/>
  <c r="E5" s="1"/>
  <c r="D106"/>
  <c r="F106"/>
  <c r="E106"/>
  <c r="G5"/>
  <c r="G78"/>
  <c r="E78"/>
  <c r="F78"/>
  <c r="F5" l="1"/>
</calcChain>
</file>

<file path=xl/sharedStrings.xml><?xml version="1.0" encoding="utf-8"?>
<sst xmlns="http://schemas.openxmlformats.org/spreadsheetml/2006/main" count="231" uniqueCount="215">
  <si>
    <t>Доп.объем, тыс.тг.</t>
  </si>
  <si>
    <t>Ответственные исполнители</t>
  </si>
  <si>
    <t>%</t>
  </si>
  <si>
    <t>1.1</t>
  </si>
  <si>
    <t>Шонаев М.А.</t>
  </si>
  <si>
    <t>1.2</t>
  </si>
  <si>
    <t>1.3</t>
  </si>
  <si>
    <t>1.4</t>
  </si>
  <si>
    <t>1.5</t>
  </si>
  <si>
    <t>1.6</t>
  </si>
  <si>
    <t>1.7</t>
  </si>
  <si>
    <t>1.8</t>
  </si>
  <si>
    <t>1.9</t>
  </si>
  <si>
    <t>Турабаев А.</t>
  </si>
  <si>
    <t>1.10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</si>
  <si>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</si>
  <si>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</si>
  <si>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</si>
  <si>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</si>
  <si>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</si>
  <si>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</si>
  <si>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</si>
  <si>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</si>
  <si>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</si>
  <si>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</si>
  <si>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</si>
  <si>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</si>
  <si>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</si>
  <si>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</si>
  <si>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</si>
  <si>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</si>
  <si>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</si>
  <si>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</si>
  <si>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3.1</t>
  </si>
  <si>
    <t>Аманжолов С.Е.</t>
  </si>
  <si>
    <t>3.2</t>
  </si>
  <si>
    <t>Гера С.В.</t>
  </si>
  <si>
    <t>3.3</t>
  </si>
  <si>
    <t>3.4</t>
  </si>
  <si>
    <t>3.5</t>
  </si>
  <si>
    <t>Тютрин С.И.</t>
  </si>
  <si>
    <t>3.6</t>
  </si>
  <si>
    <t>3.7</t>
  </si>
  <si>
    <t>3.8</t>
  </si>
  <si>
    <t>3.9</t>
  </si>
  <si>
    <t>Служба эксплуатации</t>
  </si>
  <si>
    <t>3.10</t>
  </si>
  <si>
    <t>3.11</t>
  </si>
  <si>
    <t>3.12</t>
  </si>
  <si>
    <t>3.13</t>
  </si>
  <si>
    <t>3.14</t>
  </si>
  <si>
    <t>3.15</t>
  </si>
  <si>
    <t>4.1</t>
  </si>
  <si>
    <t>Ахметов С.С.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</si>
  <si>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</si>
  <si>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</si>
  <si>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</si>
  <si>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</si>
  <si>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</si>
  <si>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</si>
  <si>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</si>
  <si>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</si>
  <si>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</si>
  <si>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</si>
  <si>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</si>
  <si>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</si>
  <si>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</si>
  <si>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</si>
  <si>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5.1</t>
  </si>
  <si>
    <t>Каверзин В.В.</t>
  </si>
  <si>
    <t>5.2</t>
  </si>
  <si>
    <t>5.3</t>
  </si>
  <si>
    <t>Каликов С., Турабаев А.</t>
  </si>
  <si>
    <t>5.4</t>
  </si>
  <si>
    <t>Тоскин В.</t>
  </si>
  <si>
    <t>5.5</t>
  </si>
  <si>
    <t>6.1</t>
  </si>
  <si>
    <t>Ахметжанов Т.С.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</si>
  <si>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</si>
  <si>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</si>
  <si>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</si>
  <si>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</si>
  <si>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</si>
  <si>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</si>
  <si>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</si>
  <si>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</si>
  <si>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</si>
  <si>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</si>
  <si>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</si>
  <si>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</si>
  <si>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Смагулов  А.О.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</si>
  <si>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</si>
  <si>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</si>
  <si>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</si>
  <si>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</si>
  <si>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</si>
  <si>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</si>
  <si>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</si>
  <si>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</si>
  <si>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</si>
  <si>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И.о.начальника ПС</t>
  </si>
  <si>
    <t>7.10</t>
  </si>
  <si>
    <r>
      <rPr>
        <i/>
        <sz val="10"/>
        <color indexed="8"/>
        <rFont val="Times New Roman"/>
        <family val="1"/>
        <charset val="204"/>
      </rPr>
      <t>Исп</t>
    </r>
    <r>
      <rPr>
        <sz val="10"/>
        <color indexed="8"/>
        <rFont val="Times New Roman"/>
        <family val="1"/>
        <charset val="204"/>
      </rPr>
      <t>. А. Токимбаева</t>
    </r>
  </si>
  <si>
    <t>тел. 771-233</t>
  </si>
  <si>
    <t xml:space="preserve">Инвестициялар бағыты (объектілер) </t>
  </si>
  <si>
    <t>"Астана-Теплотранзит" АҚ инвестициялық бағдарламасының бөлімдері бойынша барлығы</t>
  </si>
  <si>
    <t xml:space="preserve">2Ду 800мм 6-ЖМ жылу магистралын жобалау және қайта жаңарту, ұзындығы трассаның 203,5 қ.м. </t>
  </si>
  <si>
    <t xml:space="preserve">2-ЖТП жабдықтарын жаңғырту (Ду 800мм бекітуші арматурасын ауыстыру- 7 дана) </t>
  </si>
  <si>
    <t xml:space="preserve">Кварцов к-сі, 4 үй бойынша 2 Ду 80-250 мм жылу трассасын жобалау және қайта жаңарту, ұзындығы трассаның 268 қ.м.   </t>
  </si>
  <si>
    <t xml:space="preserve">11-ЖМ арасындағы жылу магистралын жобалау және құрылысы, 2 Ду 400-500мм, ұзындығы трассаның 1553 қ.м.    </t>
  </si>
  <si>
    <t xml:space="preserve">2 Ду 1000 мм 1-ЖМ жылу магистралын жобалау және қайта жаңарту, ұзындығы трассаның 433,5 қ.м.  </t>
  </si>
  <si>
    <t xml:space="preserve"> №1 сорғы станциясын қайта жаңарту</t>
  </si>
  <si>
    <t xml:space="preserve"> "Астана-Теплотранзит" АҚ-тың №9 сорғы станциясының жабдығын қайта жаңарту және  жаңғырту</t>
  </si>
  <si>
    <t xml:space="preserve">"Астана-Теплотранзит" АҚ бойынша жылу тораптарын қайта жаңарту (1,2 ӘТК және қосалқы орынжайды жылыту)  </t>
  </si>
  <si>
    <t xml:space="preserve">3ҚТ (33ЖМ), 2Ду 800 мм торапты қайта жаңарту   </t>
  </si>
  <si>
    <t>1-бөлім. Жылу желілерін қайта жаңарту, жаңғырту</t>
  </si>
  <si>
    <t xml:space="preserve">Сейфуллин к-сі,  69/2, Ду 50мм, ұзындығы трассаның  41,8 қ.м.  </t>
  </si>
  <si>
    <t xml:space="preserve">Мүсірепов к-сі, 12, 2Ду 80мм, ұзындығы трассаның 23 қ.м.  </t>
  </si>
  <si>
    <t xml:space="preserve">Саргүл, Өленті, Современник, Өріс, Романтиктер к-лері, 2Ду 50-150 мм, ұзындығы трассаның 989 қ.м.  </t>
  </si>
  <si>
    <t xml:space="preserve">Ш.Жиенқұлов к-сі, 11/2,11/1 (Фурманов к-сі, 24, 26), 2Ду 50-100 мм, ұзындығы трассаның 159 қ.м.  </t>
  </si>
  <si>
    <t xml:space="preserve">Жастар ш/а, 2, 2/1, 6, 10, 2Ду 80-400 мм, ұзындығы трассаның 397 қ.м.  </t>
  </si>
  <si>
    <t xml:space="preserve">Кенесары к-сі, 89, 89/6 (287-299), Севастопольский қысқа к-сі,   32-40, 2Ду 32-80 мм, ұзындығы трассаның 483,5  қ.м.  </t>
  </si>
  <si>
    <t xml:space="preserve">Абай көшесінен бастап Сейфулин көшесіне дейін Районный қысқа көшесі, 2Ду 100-150 мм, ұзындығы трассаның  379,5 қ.м.  </t>
  </si>
  <si>
    <t xml:space="preserve">Абылай хан даңғ., 27/1 (Абылай хан, 21/1), 2Ду  80мм, ұзындығы трассаның 29  қ.м.  </t>
  </si>
  <si>
    <t xml:space="preserve">Құдайбердіұлы даңғ., 20, 22, 2Ду 80/100 мм, ұзындығы трассаның 172,6 қ.м.  </t>
  </si>
  <si>
    <t xml:space="preserve">3 ш/а Майлин көшесі, 9 (3ш/а 20 т.ү.), 2Ду 100 мм, ұзындығы трассаның 75,7 қ.м.  </t>
  </si>
  <si>
    <t xml:space="preserve">Сарыарқа даңғ., 27 (Сарыарқа 89), 2Ду 50мм, ұзындығы трассаның 37,6 қ.м.  </t>
  </si>
  <si>
    <t xml:space="preserve">Бөгенбай даңғ., 26/1, Новоапостольская шіркеуі, 2 Ду 70мм, ұзындығы трассаның 10,6 қ.м.  </t>
  </si>
  <si>
    <t xml:space="preserve">Жеңіс даңғылы, 51/2, 51/3  бойынша тұрғын үйлер (Мәскеу к-сі, 56/1, 56/2), 2Ду 80-100мм, ұзындығы трассаның 187,7 қ.м.  </t>
  </si>
  <si>
    <t xml:space="preserve">Агроқалашық  №25 т.ү., 2Ду 70мм, ұзындығы трассаның 39 қ.м.  </t>
  </si>
  <si>
    <t xml:space="preserve">Бейбітшілік к-сі, 39 бойынша полиитехникалық  колледж, 2Ду 80-100 мм, ұзындығы трассаның 203,5 қ.м.  </t>
  </si>
  <si>
    <t xml:space="preserve">Ш.Айманов к-сі, 20,20/1 (бұрынғы Қазақ к-сі, 70, 70/1) бойынша, 2Ду 80/100 мм, ұзындығы трассаның 144 қ.м.  </t>
  </si>
  <si>
    <t xml:space="preserve">Абай даңғ., 1, 2Ду 150мм, ұзындығы трассаның  70,7 қ.м.  </t>
  </si>
  <si>
    <t>2-бөлім бойынша барлығы</t>
  </si>
  <si>
    <t xml:space="preserve">3-бөлім. Жабдықтың ескіргенін ауыстыру және жаңасын сатып алу </t>
  </si>
  <si>
    <t>№8,9 сорғы станциясын толық жиынтықтауға арналған жабдық - 10 бірл.</t>
  </si>
  <si>
    <t>Қайрау станогы  - 1 бірл.</t>
  </si>
  <si>
    <t>Электрмен дәнекерлетін муфталарды дәнекерлеуге арналган аппарат  - 2 бірл.</t>
  </si>
  <si>
    <t>Реактивті қуаттылықты автоматты түрде өтеудің конденсаторлық қондырғысы  - 1 бірл.</t>
  </si>
  <si>
    <t>АУМА Ду 500 мм электр жетегі  - 2 бірл.</t>
  </si>
  <si>
    <t xml:space="preserve">Өзі соратын орталықтан тепкіш сорғы - 1 бірл.  </t>
  </si>
  <si>
    <t>АВВ вакуумдық ажыратқыштармен қорғауға және басқаруға арналған АВВ REF 615,542 терминалы - 2 бірл.</t>
  </si>
  <si>
    <t>Ультрадыбыстық ақаутапқыш - 1 бірл.</t>
  </si>
  <si>
    <t xml:space="preserve">Қалтқылы тереңдік сорғы - 6 бірл.  </t>
  </si>
  <si>
    <t xml:space="preserve">Дірілдегіш жол тегістеуші машина  -2 бірл. </t>
  </si>
  <si>
    <t>Кәбілдің трассаны белгілеуінің зақымданған орнын дәл анықтау кешені  (Locator set)  - 1 бірл.</t>
  </si>
  <si>
    <t>Ду 110/400 құбыр-қабықшалары бұруларын дәнекерлеуге арналған қондырғы - 1 бірл.</t>
  </si>
  <si>
    <t>Ду 400/800 құбыр-қабықшалары бұруларын дәнекерлеуге арналған қондырғы  - 1 бірл.</t>
  </si>
  <si>
    <t>Жиынтықтаушылары бар жартылай автомат (KEMMPI)  - 4 бірл.</t>
  </si>
  <si>
    <t xml:space="preserve">Операциялық  жүйесі және бағдарламалық қамтамасыз етілуімен 3,00GHz  жүйелі блок, (Windows XP және одан жоғары (Professionals), пернетақта, қолтетік – 11 бірл. </t>
  </si>
  <si>
    <t xml:space="preserve">СК монитор - 11 бірл. </t>
  </si>
  <si>
    <t xml:space="preserve">Лазерлі, түрлі-түсті принтер, пішімі А4, қара-ақ түсті басылым – 7 бірл. </t>
  </si>
  <si>
    <t>500VA үздіксіз қуат алу көзі – 7 бірл.</t>
  </si>
  <si>
    <t xml:space="preserve">Екі батареясы бар 2200VA үздіксіз қуат алу көзі – 1 бірл. </t>
  </si>
  <si>
    <t xml:space="preserve">Өндірісті басқарудың ақпараттық жүйесі – 1 бірл. </t>
  </si>
  <si>
    <t xml:space="preserve">Желілік жабдық: D-Link DFL-260E маршрутизаторы (Роутер) – 1 бірл. </t>
  </si>
  <si>
    <t>Switch 24-port, 10/1400/1000 D-Link желілік жабдығы – 2 бірл.</t>
  </si>
  <si>
    <t>Желілік жабдық: коммутациялық шкаф – 1 бірл.</t>
  </si>
  <si>
    <t>800VA АРС UPS үздіксіз қуат алу көзі – 4 бірл.</t>
  </si>
  <si>
    <t>Компьютер - 1 бірл.</t>
  </si>
  <si>
    <t xml:space="preserve">Лазерлі, монохронды принтер, пішімі А4, басылым типі: 31-40 бет/мин - 3 бірл. </t>
  </si>
  <si>
    <t>КФҚ (көшіру, принтер, сканер, 4 пішімді) – 3 бірл.</t>
  </si>
  <si>
    <t>5-бөлім. Құралдар мен жүйелерді сатып алу</t>
  </si>
  <si>
    <t xml:space="preserve">УКВ диапазонының радиостанциясы – 31 бірл. </t>
  </si>
  <si>
    <t xml:space="preserve">Жиынтықтағы желіаралық экран – 1 бірл. </t>
  </si>
  <si>
    <t>Жылуды есепке алу жүйелерін (ЖЕЖ) сатып алу және монтаждау – 35 бірл.</t>
  </si>
  <si>
    <t>ОДП (орталық диспетчерлік пункт) қолданбалы бағдарламалық қамтмасыз етуін жаңғырту – 1 бірл.</t>
  </si>
  <si>
    <t>6-бөлім. Көлік және арнайы механизмдерді сатып алу</t>
  </si>
  <si>
    <t xml:space="preserve">АС-машина – 1 бірл. </t>
  </si>
  <si>
    <t xml:space="preserve">Өзіаударғыш – 1 бірл. </t>
  </si>
  <si>
    <t xml:space="preserve">120 м3/сағ су төкпе сорғысы - 3 бірл. </t>
  </si>
  <si>
    <t xml:space="preserve">60 м3/сағ су төкпе сорғысы - 1 бірл. </t>
  </si>
  <si>
    <t>Автоманипулятор - 2 бірл.</t>
  </si>
  <si>
    <t>Фронтальды тиегіш – 1 бірл.</t>
  </si>
  <si>
    <t xml:space="preserve">АРТК-М көлік шеберханасы - 1 бірл. </t>
  </si>
  <si>
    <t>Автокран - 1 бірл.</t>
  </si>
  <si>
    <t xml:space="preserve">Жүк және жолаушылар автомобилі (жылу желілеріне арналған арнайы апаттық машина) – 2 бірл. </t>
  </si>
  <si>
    <t xml:space="preserve">Ашалы тиегіш - 1 бірл. </t>
  </si>
  <si>
    <t xml:space="preserve">7-бөлім. Басқа негізгі құралдарды сатып алу </t>
  </si>
  <si>
    <t>Орнатылумен ауабаптағыш – 5 дана</t>
  </si>
  <si>
    <t>Кеңсе креслосы – 10 бірл.</t>
  </si>
  <si>
    <t xml:space="preserve">Металл контейнер – 3 бірл. </t>
  </si>
  <si>
    <t xml:space="preserve">Сейф – 1 бірл. </t>
  </si>
  <si>
    <t xml:space="preserve">Реактивтерді, ауа өткізгіші бар прекурсорларды сақтауға арналған шкаф – 2 бірл. </t>
  </si>
  <si>
    <t xml:space="preserve">Өнеркәсіптік шаңсорғыш – 1 бірл. </t>
  </si>
  <si>
    <t xml:space="preserve">Құжаттарға арналған жіңішке стеллаж – 14 жиынт. </t>
  </si>
  <si>
    <t xml:space="preserve">Киімге арналған екі жақтаулы шкаф – 5 жиынт. </t>
  </si>
  <si>
    <t xml:space="preserve">Жиынтықтағы жұмыс үстелі –  12 жиынт. </t>
  </si>
  <si>
    <t xml:space="preserve">Жобаларға арналған шкаф - 2 бірл. </t>
  </si>
  <si>
    <t xml:space="preserve"> 7 бөлім бойынша барлығы</t>
  </si>
  <si>
    <t>Қосымша көлем</t>
  </si>
  <si>
    <t xml:space="preserve">2015 жылдың ІІ жартыжылдығында "Астана-Теплотранзит" АҚ инвестициялық бағдарламасының орындалуы туралы ақпарат </t>
  </si>
  <si>
    <t xml:space="preserve">р/с № </t>
  </si>
  <si>
    <t xml:space="preserve">2015 жылдың ІІ жартыжылдығының фактісі </t>
  </si>
  <si>
    <t>Орындалу, %</t>
  </si>
  <si>
    <t xml:space="preserve">Ауытқу </t>
  </si>
  <si>
    <t>мың теңге</t>
  </si>
  <si>
    <t>2 (51) павильонда жабдықты жаңғырту</t>
  </si>
  <si>
    <t xml:space="preserve">1-бөлім бойынша барлығы </t>
  </si>
  <si>
    <t xml:space="preserve">Абылай хан даңғ., 5/2, 2Ду 50-200мм, ұзындығы трассаның 174,1 қ.м.  </t>
  </si>
  <si>
    <t>Автоматтандырылған омметрі - 1 бірл.</t>
  </si>
  <si>
    <t>3-бөлім бойынша барлығы</t>
  </si>
  <si>
    <t>4-бөлім. Атқару техникасын сатып алу</t>
  </si>
  <si>
    <t>СК монитор 21,5" - 8 бірл.</t>
  </si>
  <si>
    <t>Компьютер - 6 бірл.</t>
  </si>
  <si>
    <t>4-бөлім бойынша барлығы</t>
  </si>
  <si>
    <t>Құбыр НТП бағдарламалық жиынтық: «Старт»</t>
  </si>
  <si>
    <t>5-бөлім бойынша барлығы</t>
  </si>
  <si>
    <t>Жартылай тіркеме-тартқыш +п/п12 м. – 1 бірл.</t>
  </si>
  <si>
    <t>Дәнекер. генераторы бар бульд.қайырмасы және аспалы жабдығы бар доңғалақты трактор – 4 бірл.</t>
  </si>
  <si>
    <t xml:space="preserve">Жүк автомобилі (4,2 тн өзіаударғыш) - 1 бірл. </t>
  </si>
  <si>
    <t>6-бөлім бойынша барлығы</t>
  </si>
  <si>
    <t>7-бөлім бойынша барлығы</t>
  </si>
  <si>
    <t xml:space="preserve">2-бөлім. 2011ж.07.12.күнгі сот шешіміне сәйкес балансқа алынған 2Ду 32-300 мм жылу желілерінің (иесіз) жобалануын есепке алумен қайта жаңарту </t>
  </si>
  <si>
    <t>Іске асырудың 3-інші жылы (2014 жылғы 1 қазаннан 2015 жылғы 31 желтоқсанға дейін )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</si>
</sst>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_р_."/>
    <numFmt numFmtId="166" formatCode="#,##0\ _р_."/>
  </numFmts>
  <fonts count="1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52">
    <xf numFmtId="0" fontId="0" fillId="0" borderId="0" xfId="0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49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3" fontId="8" fillId="3" borderId="1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horizontal="left" vertical="center" wrapText="1"/>
    </xf>
    <xf numFmtId="164" fontId="8" fillId="3" borderId="0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64" fontId="8" fillId="3" borderId="3" xfId="0" applyNumberFormat="1" applyFont="1" applyFill="1" applyBorder="1" applyAlignment="1">
      <alignment vertical="center" wrapText="1"/>
    </xf>
    <xf numFmtId="49" fontId="8" fillId="0" borderId="3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3" fontId="8" fillId="5" borderId="0" xfId="0" applyNumberFormat="1" applyFont="1" applyFill="1" applyBorder="1" applyAlignment="1">
      <alignment horizontal="center" vertical="center" wrapText="1"/>
    </xf>
    <xf numFmtId="3" fontId="12" fillId="5" borderId="0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/>
    </xf>
    <xf numFmtId="0" fontId="12" fillId="0" borderId="0" xfId="0" applyFont="1"/>
    <xf numFmtId="0" fontId="14" fillId="3" borderId="0" xfId="0" applyFont="1" applyFill="1" applyBorder="1" applyAlignment="1">
      <alignment horizontal="left" vertical="center" wrapText="1"/>
    </xf>
    <xf numFmtId="0" fontId="14" fillId="0" borderId="0" xfId="0" applyFont="1"/>
    <xf numFmtId="0" fontId="12" fillId="0" borderId="0" xfId="0" applyFont="1" applyAlignment="1">
      <alignment wrapText="1"/>
    </xf>
    <xf numFmtId="3" fontId="17" fillId="3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3" fontId="14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1" fontId="1" fillId="3" borderId="1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 readingOrder="1"/>
    </xf>
    <xf numFmtId="0" fontId="12" fillId="0" borderId="0" xfId="0" applyFont="1" applyAlignment="1">
      <alignment horizontal="center" readingOrder="1"/>
    </xf>
    <xf numFmtId="0" fontId="13" fillId="0" borderId="0" xfId="0" applyFont="1" applyFill="1" applyBorder="1" applyAlignment="1">
      <alignment horizontal="left" vertical="center" wrapText="1" readingOrder="1"/>
    </xf>
    <xf numFmtId="0" fontId="12" fillId="0" borderId="0" xfId="0" applyFont="1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Обычный" xfId="0" builtinId="0"/>
    <cellStyle name="Обычный_Лист1_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K112"/>
  <sheetViews>
    <sheetView tabSelected="1" view="pageBreakPreview" zoomScale="70" zoomScaleSheetLayoutView="70" workbookViewId="0">
      <pane xSplit="2" ySplit="3" topLeftCell="C4" activePane="bottomRight" state="frozen"/>
      <selection pane="topRight" activeCell="C1" sqref="C1"/>
      <selection pane="bottomLeft" activeCell="A8" sqref="A8"/>
      <selection pane="bottomRight" activeCell="C2" sqref="C2:C3"/>
    </sheetView>
  </sheetViews>
  <sheetFormatPr defaultColWidth="8.88671875" defaultRowHeight="15.6"/>
  <cols>
    <col min="1" max="1" width="6" style="3" customWidth="1"/>
    <col min="2" max="2" width="56.6640625" style="3" customWidth="1"/>
    <col min="3" max="3" width="14" style="4" customWidth="1"/>
    <col min="4" max="4" width="13" style="91" customWidth="1"/>
    <col min="5" max="5" width="15.109375" style="91" customWidth="1"/>
    <col min="6" max="6" width="11.5546875" style="3" customWidth="1"/>
    <col min="7" max="7" width="7.88671875" style="3" customWidth="1"/>
    <col min="8" max="8" width="10.33203125" style="3" hidden="1" customWidth="1"/>
    <col min="9" max="9" width="14.88671875" style="3" hidden="1" customWidth="1"/>
    <col min="10" max="10" width="17" style="1" customWidth="1"/>
    <col min="11" max="11" width="8.88671875" style="2"/>
    <col min="12" max="16384" width="8.88671875" style="3"/>
  </cols>
  <sheetData>
    <row r="1" spans="1:11" ht="33" customHeight="1">
      <c r="A1" s="142" t="s">
        <v>191</v>
      </c>
      <c r="B1" s="142"/>
      <c r="C1" s="142"/>
      <c r="D1" s="142"/>
      <c r="E1" s="142"/>
      <c r="F1" s="142"/>
      <c r="G1" s="142"/>
      <c r="H1" s="142"/>
      <c r="I1" s="142"/>
    </row>
    <row r="2" spans="1:11" ht="39" customHeight="1">
      <c r="A2" s="143" t="s">
        <v>192</v>
      </c>
      <c r="B2" s="144" t="s">
        <v>104</v>
      </c>
      <c r="C2" s="145" t="s">
        <v>214</v>
      </c>
      <c r="D2" s="144" t="s">
        <v>193</v>
      </c>
      <c r="E2" s="144" t="s">
        <v>194</v>
      </c>
      <c r="F2" s="144" t="s">
        <v>195</v>
      </c>
      <c r="G2" s="144"/>
      <c r="H2" s="144" t="s">
        <v>0</v>
      </c>
      <c r="I2" s="144" t="s">
        <v>1</v>
      </c>
    </row>
    <row r="3" spans="1:11" ht="50.4" customHeight="1">
      <c r="A3" s="143"/>
      <c r="B3" s="144"/>
      <c r="C3" s="146"/>
      <c r="D3" s="144"/>
      <c r="E3" s="144"/>
      <c r="F3" s="114" t="s">
        <v>196</v>
      </c>
      <c r="G3" s="114" t="s">
        <v>2</v>
      </c>
      <c r="H3" s="144"/>
      <c r="I3" s="144"/>
    </row>
    <row r="4" spans="1:11" s="14" customFormat="1" ht="13.2" customHeight="1">
      <c r="A4" s="5">
        <v>1</v>
      </c>
      <c r="B4" s="6">
        <v>2</v>
      </c>
      <c r="C4" s="7">
        <v>3</v>
      </c>
      <c r="D4" s="8">
        <v>4</v>
      </c>
      <c r="E4" s="9">
        <v>5</v>
      </c>
      <c r="F4" s="8">
        <v>6</v>
      </c>
      <c r="G4" s="9">
        <v>7</v>
      </c>
      <c r="H4" s="10">
        <v>11</v>
      </c>
      <c r="I4" s="11">
        <v>12</v>
      </c>
      <c r="J4" s="12"/>
      <c r="K4" s="13"/>
    </row>
    <row r="5" spans="1:11" s="28" customFormat="1" ht="31.8" customHeight="1">
      <c r="A5" s="115"/>
      <c r="B5" s="122" t="s">
        <v>105</v>
      </c>
      <c r="C5" s="94">
        <f>C17+C37+C54+C71+C78+C93+C105</f>
        <v>1519637.5</v>
      </c>
      <c r="D5" s="94">
        <f>D17+D37+D54+D71+D78+D93+D105</f>
        <v>1185910.5</v>
      </c>
      <c r="E5" s="94">
        <f>C5/C5*100</f>
        <v>100</v>
      </c>
      <c r="F5" s="94">
        <f>D5-C5</f>
        <v>-333727</v>
      </c>
      <c r="G5" s="94">
        <f>D5/C5*100-100</f>
        <v>-21.960961084469162</v>
      </c>
      <c r="H5" s="87"/>
      <c r="I5" s="87"/>
      <c r="J5" s="26"/>
      <c r="K5" s="27"/>
    </row>
    <row r="6" spans="1:11" ht="17.399999999999999" customHeight="1">
      <c r="A6" s="15"/>
      <c r="B6" s="105" t="s">
        <v>115</v>
      </c>
      <c r="C6" s="16"/>
      <c r="D6" s="17"/>
      <c r="E6" s="23"/>
      <c r="F6" s="18"/>
      <c r="G6" s="18"/>
      <c r="H6" s="19"/>
      <c r="I6" s="19"/>
    </row>
    <row r="7" spans="1:11" s="28" customFormat="1" ht="30.6" customHeight="1">
      <c r="A7" s="20" t="s">
        <v>3</v>
      </c>
      <c r="B7" s="46" t="s">
        <v>106</v>
      </c>
      <c r="C7" s="18">
        <v>79497</v>
      </c>
      <c r="D7" s="23">
        <f>79497-68499</f>
        <v>10998</v>
      </c>
      <c r="E7" s="23">
        <f>D7/C7*100</f>
        <v>13.834484320163027</v>
      </c>
      <c r="F7" s="18">
        <f>D7-C7</f>
        <v>-68499</v>
      </c>
      <c r="G7" s="18">
        <f>D7/C7*100-100</f>
        <v>-86.165515679836972</v>
      </c>
      <c r="H7" s="25"/>
      <c r="I7" s="147" t="s">
        <v>4</v>
      </c>
      <c r="J7" s="26"/>
      <c r="K7" s="27"/>
    </row>
    <row r="8" spans="1:11" s="28" customFormat="1" ht="29.4" customHeight="1">
      <c r="A8" s="20" t="s">
        <v>5</v>
      </c>
      <c r="B8" s="46" t="s">
        <v>107</v>
      </c>
      <c r="C8" s="18">
        <v>134855</v>
      </c>
      <c r="D8" s="23">
        <f>134855-0</f>
        <v>134855</v>
      </c>
      <c r="E8" s="23">
        <f t="shared" ref="E8:E16" si="0">D8/C8*100</f>
        <v>100</v>
      </c>
      <c r="F8" s="18">
        <f t="shared" ref="F8:F16" si="1">D8-C8</f>
        <v>0</v>
      </c>
      <c r="G8" s="18">
        <f t="shared" ref="G8:G16" si="2">D8/C8*100-100</f>
        <v>0</v>
      </c>
      <c r="H8" s="25"/>
      <c r="I8" s="147"/>
      <c r="J8" s="30"/>
      <c r="K8" s="27"/>
    </row>
    <row r="9" spans="1:11" s="28" customFormat="1" ht="44.4" customHeight="1">
      <c r="A9" s="20" t="s">
        <v>6</v>
      </c>
      <c r="B9" s="46" t="s">
        <v>108</v>
      </c>
      <c r="C9" s="18">
        <f>27706</f>
        <v>27706</v>
      </c>
      <c r="D9" s="23">
        <f>27703-1007</f>
        <v>26696</v>
      </c>
      <c r="E9" s="23">
        <f t="shared" si="0"/>
        <v>96.354580235328086</v>
      </c>
      <c r="F9" s="18">
        <f t="shared" si="1"/>
        <v>-1010</v>
      </c>
      <c r="G9" s="18">
        <f t="shared" si="2"/>
        <v>-3.6454197646719138</v>
      </c>
      <c r="H9" s="25"/>
      <c r="I9" s="147"/>
      <c r="J9" s="26"/>
      <c r="K9" s="27"/>
    </row>
    <row r="10" spans="1:11" s="28" customFormat="1" ht="45.6" customHeight="1">
      <c r="A10" s="20" t="s">
        <v>7</v>
      </c>
      <c r="B10" s="46" t="s">
        <v>109</v>
      </c>
      <c r="C10" s="18">
        <v>303801</v>
      </c>
      <c r="D10" s="23">
        <f>304889-5637</f>
        <v>299252</v>
      </c>
      <c r="E10" s="23">
        <f t="shared" si="0"/>
        <v>98.50263824016379</v>
      </c>
      <c r="F10" s="18">
        <f t="shared" si="1"/>
        <v>-4549</v>
      </c>
      <c r="G10" s="18">
        <f t="shared" si="2"/>
        <v>-1.4973617598362097</v>
      </c>
      <c r="H10" s="25"/>
      <c r="I10" s="147"/>
      <c r="J10" s="26"/>
      <c r="K10" s="27"/>
    </row>
    <row r="11" spans="1:11" s="28" customFormat="1" ht="31.2" customHeight="1">
      <c r="A11" s="20" t="s">
        <v>8</v>
      </c>
      <c r="B11" s="67" t="s">
        <v>110</v>
      </c>
      <c r="C11" s="18">
        <v>160230</v>
      </c>
      <c r="D11" s="23">
        <f>160231-152451</f>
        <v>7780</v>
      </c>
      <c r="E11" s="23">
        <f t="shared" si="0"/>
        <v>4.8555201897272671</v>
      </c>
      <c r="F11" s="18">
        <f t="shared" si="1"/>
        <v>-152450</v>
      </c>
      <c r="G11" s="18">
        <f t="shared" si="2"/>
        <v>-95.144479810272728</v>
      </c>
      <c r="H11" s="25"/>
      <c r="I11" s="147"/>
      <c r="J11" s="26"/>
      <c r="K11" s="27"/>
    </row>
    <row r="12" spans="1:11" s="28" customFormat="1" ht="16.2" customHeight="1">
      <c r="A12" s="20" t="s">
        <v>9</v>
      </c>
      <c r="B12" s="46" t="s">
        <v>111</v>
      </c>
      <c r="C12" s="23">
        <v>85560</v>
      </c>
      <c r="D12" s="23">
        <f>74237</f>
        <v>74237</v>
      </c>
      <c r="E12" s="23">
        <f t="shared" si="0"/>
        <v>86.766012155212707</v>
      </c>
      <c r="F12" s="18">
        <f t="shared" si="1"/>
        <v>-11323</v>
      </c>
      <c r="G12" s="18">
        <f t="shared" si="2"/>
        <v>-13.233987844787293</v>
      </c>
      <c r="H12" s="22">
        <v>85560</v>
      </c>
      <c r="I12" s="148"/>
      <c r="J12" s="92"/>
      <c r="K12" s="27"/>
    </row>
    <row r="13" spans="1:11" s="28" customFormat="1" ht="31.8" customHeight="1">
      <c r="A13" s="20" t="s">
        <v>10</v>
      </c>
      <c r="B13" s="46" t="s">
        <v>112</v>
      </c>
      <c r="C13" s="23">
        <v>96738</v>
      </c>
      <c r="D13" s="23">
        <v>110605</v>
      </c>
      <c r="E13" s="23">
        <f t="shared" si="0"/>
        <v>114.33459447166574</v>
      </c>
      <c r="F13" s="18">
        <f t="shared" si="1"/>
        <v>13867</v>
      </c>
      <c r="G13" s="18">
        <f t="shared" si="2"/>
        <v>14.334594471665739</v>
      </c>
      <c r="H13" s="22">
        <v>96738</v>
      </c>
      <c r="I13" s="148"/>
      <c r="J13" s="93"/>
      <c r="K13" s="27"/>
    </row>
    <row r="14" spans="1:11" s="28" customFormat="1" ht="18" customHeight="1">
      <c r="A14" s="20" t="s">
        <v>11</v>
      </c>
      <c r="B14" s="46" t="s">
        <v>197</v>
      </c>
      <c r="C14" s="23">
        <v>29194</v>
      </c>
      <c r="D14" s="23">
        <v>29194</v>
      </c>
      <c r="E14" s="23">
        <f t="shared" si="0"/>
        <v>100</v>
      </c>
      <c r="F14" s="18">
        <f t="shared" si="1"/>
        <v>0</v>
      </c>
      <c r="G14" s="18">
        <f t="shared" si="2"/>
        <v>0</v>
      </c>
      <c r="H14" s="22">
        <v>29194</v>
      </c>
      <c r="I14" s="147"/>
      <c r="J14" s="26"/>
      <c r="K14" s="27"/>
    </row>
    <row r="15" spans="1:11" s="28" customFormat="1" ht="45" customHeight="1">
      <c r="A15" s="20" t="s">
        <v>12</v>
      </c>
      <c r="B15" s="46" t="s">
        <v>113</v>
      </c>
      <c r="C15" s="23">
        <v>7612</v>
      </c>
      <c r="D15" s="23">
        <v>7612</v>
      </c>
      <c r="E15" s="23">
        <f t="shared" si="0"/>
        <v>100</v>
      </c>
      <c r="F15" s="18">
        <f t="shared" si="1"/>
        <v>0</v>
      </c>
      <c r="G15" s="18">
        <f t="shared" si="2"/>
        <v>0</v>
      </c>
      <c r="H15" s="22">
        <v>7612</v>
      </c>
      <c r="I15" s="104" t="s">
        <v>13</v>
      </c>
      <c r="J15" s="26"/>
      <c r="K15" s="27"/>
    </row>
    <row r="16" spans="1:11" s="28" customFormat="1" ht="20.399999999999999" customHeight="1">
      <c r="A16" s="20" t="s">
        <v>14</v>
      </c>
      <c r="B16" s="46" t="s">
        <v>114</v>
      </c>
      <c r="C16" s="23">
        <v>38586</v>
      </c>
      <c r="D16" s="23">
        <v>40472</v>
      </c>
      <c r="E16" s="23">
        <f t="shared" si="0"/>
        <v>104.8877831337791</v>
      </c>
      <c r="F16" s="18">
        <f t="shared" si="1"/>
        <v>1886</v>
      </c>
      <c r="G16" s="18">
        <f t="shared" si="2"/>
        <v>4.8877831337790951</v>
      </c>
      <c r="H16" s="22">
        <v>38586</v>
      </c>
      <c r="I16" s="104" t="s">
        <v>4</v>
      </c>
      <c r="J16" s="26"/>
      <c r="K16" s="27"/>
    </row>
    <row r="17" spans="1:11" s="28" customFormat="1" ht="23.25" customHeight="1">
      <c r="A17" s="115"/>
      <c r="B17" s="105" t="s">
        <v>198</v>
      </c>
      <c r="C17" s="94">
        <f>SUM(C7:C16)</f>
        <v>963779</v>
      </c>
      <c r="D17" s="94">
        <f>SUM(D7:D16)</f>
        <v>741701</v>
      </c>
      <c r="E17" s="94">
        <f>(E7+E8+E9+E10+E11+E12+E13+E14+E15+E16)/10</f>
        <v>81.95356127460397</v>
      </c>
      <c r="F17" s="94">
        <f>D17-C17</f>
        <v>-222078</v>
      </c>
      <c r="G17" s="94">
        <f>D17/C17*100-100</f>
        <v>-23.04241947583418</v>
      </c>
      <c r="H17" s="33">
        <f>SUM(H12:H16)</f>
        <v>257690</v>
      </c>
      <c r="I17" s="87"/>
      <c r="J17" s="26"/>
      <c r="K17" s="27"/>
    </row>
    <row r="18" spans="1:11" ht="48" customHeight="1">
      <c r="A18" s="15"/>
      <c r="B18" s="105" t="s">
        <v>213</v>
      </c>
      <c r="C18" s="18"/>
      <c r="D18" s="102"/>
      <c r="E18" s="94"/>
      <c r="F18" s="18"/>
      <c r="G18" s="18"/>
      <c r="H18" s="25"/>
      <c r="I18" s="34"/>
    </row>
    <row r="19" spans="1:11" ht="30" customHeight="1">
      <c r="A19" s="15" t="s">
        <v>15</v>
      </c>
      <c r="B19" s="67" t="s">
        <v>116</v>
      </c>
      <c r="C19" s="18">
        <v>1731</v>
      </c>
      <c r="D19" s="18">
        <f>1731-57</f>
        <v>1674</v>
      </c>
      <c r="E19" s="23">
        <f>D19/C19*100</f>
        <v>96.707105719237433</v>
      </c>
      <c r="F19" s="18">
        <f>D19-C19</f>
        <v>-57</v>
      </c>
      <c r="G19" s="18">
        <f t="shared" ref="G19:G36" si="3">D19/C19*100-100</f>
        <v>-3.2928942807625674</v>
      </c>
      <c r="H19" s="25"/>
      <c r="I19" s="139" t="s">
        <v>4</v>
      </c>
    </row>
    <row r="20" spans="1:11" ht="21.6" customHeight="1">
      <c r="A20" s="15" t="s">
        <v>16</v>
      </c>
      <c r="B20" s="67" t="s">
        <v>117</v>
      </c>
      <c r="C20" s="18">
        <v>2677</v>
      </c>
      <c r="D20" s="18">
        <f>2677-36</f>
        <v>2641</v>
      </c>
      <c r="E20" s="23">
        <f t="shared" ref="E20:E36" si="4">D20/C20*100</f>
        <v>98.655211057153522</v>
      </c>
      <c r="F20" s="18">
        <f t="shared" ref="F20:F36" si="5">D20-C20</f>
        <v>-36</v>
      </c>
      <c r="G20" s="18">
        <f t="shared" si="3"/>
        <v>-1.3447889428464777</v>
      </c>
      <c r="H20" s="25"/>
      <c r="I20" s="139"/>
    </row>
    <row r="21" spans="1:11" ht="30.75" customHeight="1">
      <c r="A21" s="15" t="s">
        <v>17</v>
      </c>
      <c r="B21" s="67" t="s">
        <v>118</v>
      </c>
      <c r="C21" s="18">
        <v>57644</v>
      </c>
      <c r="D21" s="18">
        <f>57644-1412</f>
        <v>56232</v>
      </c>
      <c r="E21" s="23">
        <f t="shared" si="4"/>
        <v>97.550482270487819</v>
      </c>
      <c r="F21" s="18">
        <f t="shared" si="5"/>
        <v>-1412</v>
      </c>
      <c r="G21" s="18">
        <f t="shared" si="3"/>
        <v>-2.4495177295121806</v>
      </c>
      <c r="H21" s="25"/>
      <c r="I21" s="139"/>
    </row>
    <row r="22" spans="1:11" ht="29.4" customHeight="1">
      <c r="A22" s="15" t="s">
        <v>18</v>
      </c>
      <c r="B22" s="67" t="s">
        <v>199</v>
      </c>
      <c r="C22" s="18">
        <v>17704</v>
      </c>
      <c r="D22" s="18">
        <f>17704-3367</f>
        <v>14337</v>
      </c>
      <c r="E22" s="23">
        <f t="shared" si="4"/>
        <v>80.981699051061909</v>
      </c>
      <c r="F22" s="18">
        <f t="shared" si="5"/>
        <v>-3367</v>
      </c>
      <c r="G22" s="18">
        <f t="shared" si="3"/>
        <v>-19.018300948938091</v>
      </c>
      <c r="H22" s="25"/>
      <c r="I22" s="139"/>
    </row>
    <row r="23" spans="1:11" ht="31.2" customHeight="1">
      <c r="A23" s="15" t="s">
        <v>19</v>
      </c>
      <c r="B23" s="67" t="s">
        <v>119</v>
      </c>
      <c r="C23" s="18">
        <v>11373</v>
      </c>
      <c r="D23" s="18">
        <f>11373-9095</f>
        <v>2278</v>
      </c>
      <c r="E23" s="23">
        <f t="shared" si="4"/>
        <v>20.029895366218238</v>
      </c>
      <c r="F23" s="18">
        <f t="shared" si="5"/>
        <v>-9095</v>
      </c>
      <c r="G23" s="18">
        <f t="shared" si="3"/>
        <v>-79.970104633781759</v>
      </c>
      <c r="H23" s="25"/>
      <c r="I23" s="139"/>
    </row>
    <row r="24" spans="1:11" ht="30.6" customHeight="1">
      <c r="A24" s="15" t="s">
        <v>20</v>
      </c>
      <c r="B24" s="67" t="s">
        <v>120</v>
      </c>
      <c r="C24" s="18">
        <v>61600</v>
      </c>
      <c r="D24" s="18">
        <f>61600-1869</f>
        <v>59731</v>
      </c>
      <c r="E24" s="23">
        <f t="shared" si="4"/>
        <v>96.965909090909079</v>
      </c>
      <c r="F24" s="18">
        <f t="shared" si="5"/>
        <v>-1869</v>
      </c>
      <c r="G24" s="18">
        <f t="shared" si="3"/>
        <v>-3.0340909090909207</v>
      </c>
      <c r="H24" s="25"/>
      <c r="I24" s="139"/>
    </row>
    <row r="25" spans="1:11" ht="30.6" customHeight="1">
      <c r="A25" s="15" t="s">
        <v>21</v>
      </c>
      <c r="B25" s="67" t="s">
        <v>121</v>
      </c>
      <c r="C25" s="18">
        <v>47981</v>
      </c>
      <c r="D25" s="18">
        <f>47981-1020</f>
        <v>46961</v>
      </c>
      <c r="E25" s="23">
        <f t="shared" si="4"/>
        <v>97.874158521081256</v>
      </c>
      <c r="F25" s="18">
        <f t="shared" si="5"/>
        <v>-1020</v>
      </c>
      <c r="G25" s="18">
        <f t="shared" si="3"/>
        <v>-2.1258414789187441</v>
      </c>
      <c r="H25" s="25"/>
      <c r="I25" s="139"/>
    </row>
    <row r="26" spans="1:11" ht="46.2" customHeight="1">
      <c r="A26" s="15" t="s">
        <v>22</v>
      </c>
      <c r="B26" s="67" t="s">
        <v>122</v>
      </c>
      <c r="C26" s="18">
        <v>48954</v>
      </c>
      <c r="D26" s="18">
        <f>48954-1203</f>
        <v>47751</v>
      </c>
      <c r="E26" s="23">
        <f t="shared" si="4"/>
        <v>97.542591003799487</v>
      </c>
      <c r="F26" s="18">
        <f t="shared" si="5"/>
        <v>-1203</v>
      </c>
      <c r="G26" s="18">
        <f t="shared" si="3"/>
        <v>-2.4574089962005132</v>
      </c>
      <c r="H26" s="25"/>
      <c r="I26" s="139"/>
    </row>
    <row r="27" spans="1:11" ht="31.2" customHeight="1">
      <c r="A27" s="15" t="s">
        <v>23</v>
      </c>
      <c r="B27" s="67" t="s">
        <v>123</v>
      </c>
      <c r="C27" s="18">
        <v>1887</v>
      </c>
      <c r="D27" s="18">
        <f>1887-28</f>
        <v>1859</v>
      </c>
      <c r="E27" s="23">
        <f t="shared" si="4"/>
        <v>98.516163222045577</v>
      </c>
      <c r="F27" s="18">
        <f t="shared" si="5"/>
        <v>-28</v>
      </c>
      <c r="G27" s="18">
        <f t="shared" si="3"/>
        <v>-1.4838367779544228</v>
      </c>
      <c r="H27" s="25"/>
      <c r="I27" s="139"/>
    </row>
    <row r="28" spans="1:11" ht="32.4" customHeight="1">
      <c r="A28" s="15" t="s">
        <v>24</v>
      </c>
      <c r="B28" s="67" t="s">
        <v>124</v>
      </c>
      <c r="C28" s="18">
        <v>12684</v>
      </c>
      <c r="D28" s="18">
        <f>12684-238</f>
        <v>12446</v>
      </c>
      <c r="E28" s="23">
        <f t="shared" si="4"/>
        <v>98.123620309050779</v>
      </c>
      <c r="F28" s="18">
        <f t="shared" si="5"/>
        <v>-238</v>
      </c>
      <c r="G28" s="18">
        <f t="shared" si="3"/>
        <v>-1.8763796909492214</v>
      </c>
      <c r="H28" s="25"/>
      <c r="I28" s="139"/>
    </row>
    <row r="29" spans="1:11" ht="30" customHeight="1">
      <c r="A29" s="15" t="s">
        <v>25</v>
      </c>
      <c r="B29" s="67" t="s">
        <v>125</v>
      </c>
      <c r="C29" s="18">
        <v>6157</v>
      </c>
      <c r="D29" s="18">
        <f>6157-50</f>
        <v>6107</v>
      </c>
      <c r="E29" s="23">
        <f t="shared" si="4"/>
        <v>99.187916192951107</v>
      </c>
      <c r="F29" s="18">
        <f t="shared" si="5"/>
        <v>-50</v>
      </c>
      <c r="G29" s="18">
        <f t="shared" si="3"/>
        <v>-0.81208380704889294</v>
      </c>
      <c r="H29" s="25"/>
      <c r="I29" s="139"/>
    </row>
    <row r="30" spans="1:11" ht="30" customHeight="1">
      <c r="A30" s="15" t="s">
        <v>26</v>
      </c>
      <c r="B30" s="67" t="s">
        <v>126</v>
      </c>
      <c r="C30" s="18">
        <v>1616</v>
      </c>
      <c r="D30" s="18">
        <f>1616-32</f>
        <v>1584</v>
      </c>
      <c r="E30" s="23">
        <f t="shared" si="4"/>
        <v>98.019801980198025</v>
      </c>
      <c r="F30" s="18">
        <f t="shared" si="5"/>
        <v>-32</v>
      </c>
      <c r="G30" s="18">
        <f t="shared" si="3"/>
        <v>-1.9801980198019749</v>
      </c>
      <c r="H30" s="35"/>
      <c r="I30" s="149" t="s">
        <v>4</v>
      </c>
    </row>
    <row r="31" spans="1:11" ht="31.95" customHeight="1">
      <c r="A31" s="36" t="s">
        <v>27</v>
      </c>
      <c r="B31" s="67" t="s">
        <v>127</v>
      </c>
      <c r="C31" s="37">
        <v>1123</v>
      </c>
      <c r="D31" s="37">
        <f>1123-12</f>
        <v>1111</v>
      </c>
      <c r="E31" s="23">
        <f t="shared" si="4"/>
        <v>98.931433659839712</v>
      </c>
      <c r="F31" s="18">
        <f t="shared" si="5"/>
        <v>-12</v>
      </c>
      <c r="G31" s="18">
        <f t="shared" si="3"/>
        <v>-1.0685663401602881</v>
      </c>
      <c r="H31" s="35"/>
      <c r="I31" s="149"/>
    </row>
    <row r="32" spans="1:11" ht="44.4" customHeight="1">
      <c r="A32" s="15" t="s">
        <v>28</v>
      </c>
      <c r="B32" s="67" t="s">
        <v>128</v>
      </c>
      <c r="C32" s="18">
        <v>10647</v>
      </c>
      <c r="D32" s="18">
        <f>10647-3351</f>
        <v>7296</v>
      </c>
      <c r="E32" s="23">
        <f t="shared" si="4"/>
        <v>68.526345449422379</v>
      </c>
      <c r="F32" s="18">
        <f t="shared" si="5"/>
        <v>-3351</v>
      </c>
      <c r="G32" s="18">
        <f t="shared" si="3"/>
        <v>-31.473654550577621</v>
      </c>
      <c r="H32" s="25"/>
      <c r="I32" s="149"/>
    </row>
    <row r="33" spans="1:11" ht="31.5" customHeight="1">
      <c r="A33" s="15" t="s">
        <v>29</v>
      </c>
      <c r="B33" s="67" t="s">
        <v>129</v>
      </c>
      <c r="C33" s="18">
        <v>2604.4</v>
      </c>
      <c r="D33" s="18">
        <f>2604.4-35</f>
        <v>2569.4</v>
      </c>
      <c r="E33" s="23">
        <f t="shared" si="4"/>
        <v>98.656120411611113</v>
      </c>
      <c r="F33" s="18">
        <f t="shared" si="5"/>
        <v>-35</v>
      </c>
      <c r="G33" s="18">
        <f t="shared" si="3"/>
        <v>-1.3438795883888872</v>
      </c>
      <c r="H33" s="25"/>
      <c r="I33" s="149"/>
    </row>
    <row r="34" spans="1:11" ht="31.5" customHeight="1">
      <c r="A34" s="15" t="s">
        <v>30</v>
      </c>
      <c r="B34" s="67" t="s">
        <v>130</v>
      </c>
      <c r="C34" s="18">
        <v>11387</v>
      </c>
      <c r="D34" s="18">
        <f>11387-330</f>
        <v>11057</v>
      </c>
      <c r="E34" s="23">
        <f t="shared" si="4"/>
        <v>97.101958373583912</v>
      </c>
      <c r="F34" s="18">
        <f t="shared" si="5"/>
        <v>-330</v>
      </c>
      <c r="G34" s="18">
        <f t="shared" si="3"/>
        <v>-2.898041626416088</v>
      </c>
      <c r="H34" s="25"/>
      <c r="I34" s="149"/>
    </row>
    <row r="35" spans="1:11" ht="31.5" customHeight="1">
      <c r="A35" s="15" t="s">
        <v>31</v>
      </c>
      <c r="B35" s="67" t="s">
        <v>131</v>
      </c>
      <c r="C35" s="18">
        <v>9915.1</v>
      </c>
      <c r="D35" s="18">
        <f>9915.1-175</f>
        <v>9740.1</v>
      </c>
      <c r="E35" s="23">
        <f t="shared" si="4"/>
        <v>98.235015279724863</v>
      </c>
      <c r="F35" s="18">
        <f t="shared" si="5"/>
        <v>-175</v>
      </c>
      <c r="G35" s="18">
        <f t="shared" si="3"/>
        <v>-1.7649847202751374</v>
      </c>
      <c r="H35" s="25"/>
      <c r="I35" s="149"/>
    </row>
    <row r="36" spans="1:11" ht="16.8" customHeight="1">
      <c r="A36" s="15" t="s">
        <v>32</v>
      </c>
      <c r="B36" s="67" t="s">
        <v>132</v>
      </c>
      <c r="C36" s="18">
        <v>9326</v>
      </c>
      <c r="D36" s="18">
        <f>9326-182</f>
        <v>9144</v>
      </c>
      <c r="E36" s="23">
        <f t="shared" si="4"/>
        <v>98.048466652369711</v>
      </c>
      <c r="F36" s="18">
        <f t="shared" si="5"/>
        <v>-182</v>
      </c>
      <c r="G36" s="18">
        <f t="shared" si="3"/>
        <v>-1.9515333476302885</v>
      </c>
      <c r="H36" s="25"/>
      <c r="I36" s="150"/>
    </row>
    <row r="37" spans="1:11" s="120" customFormat="1" ht="16.8" customHeight="1">
      <c r="A37" s="115"/>
      <c r="B37" s="105" t="s">
        <v>133</v>
      </c>
      <c r="C37" s="94">
        <f>SUM(C19:C36)</f>
        <v>317010.5</v>
      </c>
      <c r="D37" s="94">
        <f>SUM(D19:D36)</f>
        <v>294518.5</v>
      </c>
      <c r="E37" s="94">
        <f>(E19+E20+E21+E22+E23+E24+E25+E26+E27+E28+E29+E30+E31+E32+E33+E34+E35+E36)/18</f>
        <v>91.091882978374798</v>
      </c>
      <c r="F37" s="94">
        <f>D37-C37</f>
        <v>-22492</v>
      </c>
      <c r="G37" s="94">
        <f>D37/C37*100-100</f>
        <v>-7.095033129817466</v>
      </c>
      <c r="H37" s="117"/>
      <c r="I37" s="117"/>
      <c r="J37" s="118"/>
      <c r="K37" s="119"/>
    </row>
    <row r="38" spans="1:11" s="41" customFormat="1" ht="29.4" customHeight="1">
      <c r="A38" s="42"/>
      <c r="B38" s="43" t="s">
        <v>134</v>
      </c>
      <c r="C38" s="44"/>
      <c r="D38" s="45"/>
      <c r="E38" s="94"/>
      <c r="F38" s="18"/>
      <c r="G38" s="18"/>
      <c r="H38" s="38"/>
      <c r="I38" s="38"/>
      <c r="J38" s="39"/>
      <c r="K38" s="40"/>
    </row>
    <row r="39" spans="1:11" ht="30.6" customHeight="1">
      <c r="A39" s="42" t="s">
        <v>33</v>
      </c>
      <c r="B39" s="67" t="s">
        <v>135</v>
      </c>
      <c r="C39" s="47">
        <v>54085</v>
      </c>
      <c r="D39" s="48">
        <f>54085-0</f>
        <v>54085</v>
      </c>
      <c r="E39" s="23">
        <f t="shared" ref="E39:E53" si="6">D39/C39*100</f>
        <v>100</v>
      </c>
      <c r="F39" s="18">
        <f t="shared" ref="F39:F53" si="7">D39-C39</f>
        <v>0</v>
      </c>
      <c r="G39" s="18">
        <f t="shared" ref="G39:G53" si="8">D39/C39*100-100</f>
        <v>0</v>
      </c>
      <c r="H39" s="49"/>
      <c r="I39" s="102" t="s">
        <v>34</v>
      </c>
    </row>
    <row r="40" spans="1:11" s="28" customFormat="1" ht="16.8" customHeight="1">
      <c r="A40" s="50" t="s">
        <v>35</v>
      </c>
      <c r="B40" s="67" t="s">
        <v>136</v>
      </c>
      <c r="C40" s="47">
        <v>300</v>
      </c>
      <c r="D40" s="49">
        <f>300-300</f>
        <v>0</v>
      </c>
      <c r="E40" s="23">
        <f t="shared" si="6"/>
        <v>0</v>
      </c>
      <c r="F40" s="18">
        <f t="shared" si="7"/>
        <v>-300</v>
      </c>
      <c r="G40" s="18">
        <f t="shared" si="8"/>
        <v>-100</v>
      </c>
      <c r="H40" s="32"/>
      <c r="I40" s="124" t="s">
        <v>36</v>
      </c>
      <c r="J40" s="51"/>
      <c r="K40" s="27"/>
    </row>
    <row r="41" spans="1:11" s="28" customFormat="1" ht="29.4" customHeight="1">
      <c r="A41" s="50" t="s">
        <v>37</v>
      </c>
      <c r="B41" s="67" t="s">
        <v>137</v>
      </c>
      <c r="C41" s="18">
        <v>443</v>
      </c>
      <c r="D41" s="52">
        <f>443-443</f>
        <v>0</v>
      </c>
      <c r="E41" s="23">
        <f t="shared" si="6"/>
        <v>0</v>
      </c>
      <c r="F41" s="18">
        <f t="shared" si="7"/>
        <v>-443</v>
      </c>
      <c r="G41" s="18">
        <f t="shared" si="8"/>
        <v>-100</v>
      </c>
      <c r="H41" s="31"/>
      <c r="I41" s="126"/>
      <c r="J41" s="26"/>
      <c r="K41" s="27"/>
    </row>
    <row r="42" spans="1:11" s="28" customFormat="1" ht="31.2" customHeight="1">
      <c r="A42" s="50" t="s">
        <v>38</v>
      </c>
      <c r="B42" s="67" t="s">
        <v>138</v>
      </c>
      <c r="C42" s="18">
        <v>3898</v>
      </c>
      <c r="D42" s="23">
        <f>3898-0</f>
        <v>3898</v>
      </c>
      <c r="E42" s="23">
        <f t="shared" si="6"/>
        <v>100</v>
      </c>
      <c r="F42" s="18">
        <f t="shared" si="7"/>
        <v>0</v>
      </c>
      <c r="G42" s="18">
        <f t="shared" si="8"/>
        <v>0</v>
      </c>
      <c r="H42" s="32"/>
      <c r="I42" s="104" t="s">
        <v>34</v>
      </c>
      <c r="J42" s="53"/>
      <c r="K42" s="27"/>
    </row>
    <row r="43" spans="1:11" ht="19.95" customHeight="1">
      <c r="A43" s="42" t="s">
        <v>39</v>
      </c>
      <c r="B43" s="67" t="s">
        <v>139</v>
      </c>
      <c r="C43" s="47">
        <v>3084</v>
      </c>
      <c r="D43" s="48">
        <f>3084-3084</f>
        <v>0</v>
      </c>
      <c r="E43" s="23">
        <f t="shared" si="6"/>
        <v>0</v>
      </c>
      <c r="F43" s="18">
        <f t="shared" si="7"/>
        <v>-3084</v>
      </c>
      <c r="G43" s="18">
        <f t="shared" si="8"/>
        <v>-100</v>
      </c>
      <c r="H43" s="31"/>
      <c r="I43" s="151" t="s">
        <v>40</v>
      </c>
    </row>
    <row r="44" spans="1:11" ht="19.95" customHeight="1">
      <c r="A44" s="42" t="s">
        <v>41</v>
      </c>
      <c r="B44" s="67" t="s">
        <v>140</v>
      </c>
      <c r="C44" s="47">
        <v>3050</v>
      </c>
      <c r="D44" s="52">
        <f>3050-3050</f>
        <v>0</v>
      </c>
      <c r="E44" s="23">
        <f t="shared" si="6"/>
        <v>0</v>
      </c>
      <c r="F44" s="18">
        <f t="shared" si="7"/>
        <v>-3050</v>
      </c>
      <c r="G44" s="18">
        <f t="shared" si="8"/>
        <v>-100</v>
      </c>
      <c r="H44" s="55"/>
      <c r="I44" s="150"/>
    </row>
    <row r="45" spans="1:11" ht="31.2" customHeight="1">
      <c r="A45" s="42" t="s">
        <v>42</v>
      </c>
      <c r="B45" s="67" t="s">
        <v>141</v>
      </c>
      <c r="C45" s="47">
        <v>1520</v>
      </c>
      <c r="D45" s="52">
        <f>1520-1520</f>
        <v>0</v>
      </c>
      <c r="E45" s="23">
        <f t="shared" si="6"/>
        <v>0</v>
      </c>
      <c r="F45" s="18">
        <f t="shared" si="7"/>
        <v>-1520</v>
      </c>
      <c r="G45" s="18">
        <f t="shared" si="8"/>
        <v>-100</v>
      </c>
      <c r="H45" s="55"/>
      <c r="I45" s="102" t="s">
        <v>34</v>
      </c>
    </row>
    <row r="46" spans="1:11" ht="18" customHeight="1">
      <c r="A46" s="42" t="s">
        <v>43</v>
      </c>
      <c r="B46" s="67" t="s">
        <v>142</v>
      </c>
      <c r="C46" s="47">
        <v>1100</v>
      </c>
      <c r="D46" s="52">
        <f>1100-1100</f>
        <v>0</v>
      </c>
      <c r="E46" s="23">
        <f t="shared" si="6"/>
        <v>0</v>
      </c>
      <c r="F46" s="18">
        <f t="shared" si="7"/>
        <v>-1100</v>
      </c>
      <c r="G46" s="18">
        <f t="shared" si="8"/>
        <v>-100</v>
      </c>
      <c r="H46" s="55"/>
      <c r="I46" s="104" t="s">
        <v>36</v>
      </c>
    </row>
    <row r="47" spans="1:11" ht="15" customHeight="1">
      <c r="A47" s="42" t="s">
        <v>44</v>
      </c>
      <c r="B47" s="67" t="s">
        <v>143</v>
      </c>
      <c r="C47" s="47">
        <v>602</v>
      </c>
      <c r="D47" s="52">
        <f>602-602</f>
        <v>0</v>
      </c>
      <c r="E47" s="23">
        <f t="shared" si="6"/>
        <v>0</v>
      </c>
      <c r="F47" s="18">
        <f t="shared" si="7"/>
        <v>-602</v>
      </c>
      <c r="G47" s="18">
        <f t="shared" si="8"/>
        <v>-100</v>
      </c>
      <c r="H47" s="55"/>
      <c r="I47" s="49" t="s">
        <v>45</v>
      </c>
    </row>
    <row r="48" spans="1:11" ht="16.2" customHeight="1">
      <c r="A48" s="42" t="s">
        <v>46</v>
      </c>
      <c r="B48" s="67" t="s">
        <v>144</v>
      </c>
      <c r="C48" s="47">
        <v>354</v>
      </c>
      <c r="D48" s="52">
        <f>354-354</f>
        <v>0</v>
      </c>
      <c r="E48" s="23">
        <f t="shared" si="6"/>
        <v>0</v>
      </c>
      <c r="F48" s="18">
        <f t="shared" si="7"/>
        <v>-354</v>
      </c>
      <c r="G48" s="18">
        <f t="shared" si="8"/>
        <v>-100</v>
      </c>
      <c r="H48" s="55"/>
      <c r="I48" s="49" t="s">
        <v>36</v>
      </c>
    </row>
    <row r="49" spans="1:11" ht="16.2" customHeight="1">
      <c r="A49" s="42" t="s">
        <v>47</v>
      </c>
      <c r="B49" s="46" t="s">
        <v>200</v>
      </c>
      <c r="C49" s="47">
        <v>3546</v>
      </c>
      <c r="D49" s="56">
        <f>2660-0</f>
        <v>2660</v>
      </c>
      <c r="E49" s="23">
        <f t="shared" si="6"/>
        <v>75.014100394811052</v>
      </c>
      <c r="F49" s="18">
        <f t="shared" si="7"/>
        <v>-886</v>
      </c>
      <c r="G49" s="18">
        <f t="shared" si="8"/>
        <v>-24.985899605188948</v>
      </c>
      <c r="H49" s="55"/>
      <c r="I49" s="140" t="s">
        <v>34</v>
      </c>
    </row>
    <row r="50" spans="1:11" s="4" customFormat="1" ht="30" customHeight="1">
      <c r="A50" s="42" t="s">
        <v>48</v>
      </c>
      <c r="B50" s="46" t="s">
        <v>145</v>
      </c>
      <c r="C50" s="47">
        <v>1934</v>
      </c>
      <c r="D50" s="56">
        <f>1340-0</f>
        <v>1340</v>
      </c>
      <c r="E50" s="23">
        <f t="shared" si="6"/>
        <v>69.286452947259562</v>
      </c>
      <c r="F50" s="18">
        <f t="shared" si="7"/>
        <v>-594</v>
      </c>
      <c r="G50" s="18">
        <f t="shared" si="8"/>
        <v>-30.713547052740438</v>
      </c>
      <c r="H50" s="58"/>
      <c r="I50" s="141"/>
      <c r="J50" s="59"/>
      <c r="K50" s="60"/>
    </row>
    <row r="51" spans="1:11" s="4" customFormat="1" ht="30" customHeight="1">
      <c r="A51" s="42" t="s">
        <v>49</v>
      </c>
      <c r="B51" s="67" t="s">
        <v>146</v>
      </c>
      <c r="C51" s="47">
        <v>5632</v>
      </c>
      <c r="D51" s="56">
        <f>5632-0</f>
        <v>5632</v>
      </c>
      <c r="E51" s="23">
        <f t="shared" si="6"/>
        <v>100</v>
      </c>
      <c r="F51" s="18">
        <f t="shared" si="7"/>
        <v>0</v>
      </c>
      <c r="G51" s="18">
        <f t="shared" si="8"/>
        <v>0</v>
      </c>
      <c r="H51" s="58"/>
      <c r="I51" s="131" t="s">
        <v>36</v>
      </c>
      <c r="J51" s="59"/>
      <c r="K51" s="60"/>
    </row>
    <row r="52" spans="1:11" s="4" customFormat="1" ht="30.6" customHeight="1">
      <c r="A52" s="42" t="s">
        <v>50</v>
      </c>
      <c r="B52" s="67" t="s">
        <v>147</v>
      </c>
      <c r="C52" s="47">
        <v>15063</v>
      </c>
      <c r="D52" s="56">
        <f>15063-0</f>
        <v>15063</v>
      </c>
      <c r="E52" s="23">
        <f t="shared" si="6"/>
        <v>100</v>
      </c>
      <c r="F52" s="18">
        <f t="shared" si="7"/>
        <v>0</v>
      </c>
      <c r="G52" s="18">
        <f t="shared" si="8"/>
        <v>0</v>
      </c>
      <c r="H52" s="58"/>
      <c r="I52" s="132"/>
      <c r="J52" s="59"/>
      <c r="K52" s="60"/>
    </row>
    <row r="53" spans="1:11" s="4" customFormat="1" ht="30.6" customHeight="1">
      <c r="A53" s="42" t="s">
        <v>51</v>
      </c>
      <c r="B53" s="67" t="s">
        <v>148</v>
      </c>
      <c r="C53" s="47">
        <v>6301</v>
      </c>
      <c r="D53" s="56">
        <v>0</v>
      </c>
      <c r="E53" s="23">
        <f t="shared" si="6"/>
        <v>0</v>
      </c>
      <c r="F53" s="18">
        <f t="shared" si="7"/>
        <v>-6301</v>
      </c>
      <c r="G53" s="18">
        <f t="shared" si="8"/>
        <v>-100</v>
      </c>
      <c r="H53" s="58"/>
      <c r="I53" s="133"/>
      <c r="J53" s="59"/>
      <c r="K53" s="60"/>
    </row>
    <row r="54" spans="1:11" s="28" customFormat="1" ht="17.399999999999999" customHeight="1">
      <c r="A54" s="115"/>
      <c r="B54" s="105" t="s">
        <v>201</v>
      </c>
      <c r="C54" s="94">
        <f>SUM(C39:C53)</f>
        <v>100912</v>
      </c>
      <c r="D54" s="94">
        <f>SUM(D39:D53)</f>
        <v>82678</v>
      </c>
      <c r="E54" s="94">
        <f>D54/C54*100</f>
        <v>81.930791184398288</v>
      </c>
      <c r="F54" s="94">
        <f>D54-C54</f>
        <v>-18234</v>
      </c>
      <c r="G54" s="94">
        <f>D54/C54*100-100</f>
        <v>-18.069208815601712</v>
      </c>
      <c r="H54" s="116">
        <f>SUM(H39:H53)</f>
        <v>0</v>
      </c>
      <c r="I54" s="87"/>
      <c r="J54" s="26"/>
      <c r="K54" s="27"/>
    </row>
    <row r="55" spans="1:11" s="4" customFormat="1" ht="16.2" customHeight="1">
      <c r="A55" s="42"/>
      <c r="B55" s="43" t="s">
        <v>202</v>
      </c>
      <c r="C55" s="54"/>
      <c r="D55" s="101"/>
      <c r="E55" s="16"/>
      <c r="F55" s="18"/>
      <c r="G55" s="18"/>
      <c r="H55" s="66"/>
      <c r="I55" s="66"/>
      <c r="J55" s="59"/>
      <c r="K55" s="60"/>
    </row>
    <row r="56" spans="1:11" s="4" customFormat="1" ht="48" customHeight="1">
      <c r="A56" s="15" t="s">
        <v>52</v>
      </c>
      <c r="B56" s="21" t="s">
        <v>149</v>
      </c>
      <c r="C56" s="18">
        <v>1362</v>
      </c>
      <c r="D56" s="68">
        <f>1362-1130</f>
        <v>232</v>
      </c>
      <c r="E56" s="23">
        <f t="shared" ref="E56:E66" si="9">D56/C56*100</f>
        <v>17.033773861967695</v>
      </c>
      <c r="F56" s="18">
        <f t="shared" ref="F56:F66" si="10">D56-C56</f>
        <v>-1130</v>
      </c>
      <c r="G56" s="18">
        <f t="shared" ref="G56:G66" si="11">D56/C56*100-100</f>
        <v>-82.966226138032312</v>
      </c>
      <c r="H56" s="57"/>
      <c r="I56" s="134" t="s">
        <v>53</v>
      </c>
      <c r="J56" s="59"/>
      <c r="K56" s="60"/>
    </row>
    <row r="57" spans="1:11" s="4" customFormat="1" ht="16.8" customHeight="1">
      <c r="A57" s="15" t="s">
        <v>54</v>
      </c>
      <c r="B57" s="21" t="s">
        <v>150</v>
      </c>
      <c r="C57" s="70">
        <v>213</v>
      </c>
      <c r="D57" s="68">
        <f>213-147</f>
        <v>66</v>
      </c>
      <c r="E57" s="23">
        <f t="shared" si="9"/>
        <v>30.985915492957744</v>
      </c>
      <c r="F57" s="18">
        <f t="shared" si="10"/>
        <v>-147</v>
      </c>
      <c r="G57" s="18">
        <f t="shared" si="11"/>
        <v>-69.014084507042256</v>
      </c>
      <c r="H57" s="57"/>
      <c r="I57" s="135"/>
      <c r="J57" s="59"/>
      <c r="K57" s="60"/>
    </row>
    <row r="58" spans="1:11" s="4" customFormat="1" ht="30" customHeight="1">
      <c r="A58" s="15" t="s">
        <v>55</v>
      </c>
      <c r="B58" s="21" t="s">
        <v>151</v>
      </c>
      <c r="C58" s="70">
        <v>122</v>
      </c>
      <c r="D58" s="68">
        <f>122-65</f>
        <v>57</v>
      </c>
      <c r="E58" s="23">
        <f t="shared" si="9"/>
        <v>46.721311475409841</v>
      </c>
      <c r="F58" s="18">
        <f t="shared" si="10"/>
        <v>-65</v>
      </c>
      <c r="G58" s="18">
        <f t="shared" si="11"/>
        <v>-53.278688524590159</v>
      </c>
      <c r="H58" s="57"/>
      <c r="I58" s="135"/>
      <c r="J58" s="71"/>
      <c r="K58" s="60"/>
    </row>
    <row r="59" spans="1:11" s="4" customFormat="1" ht="19.95" customHeight="1">
      <c r="A59" s="15" t="s">
        <v>56</v>
      </c>
      <c r="B59" s="21" t="s">
        <v>152</v>
      </c>
      <c r="C59" s="70">
        <v>128</v>
      </c>
      <c r="D59" s="68">
        <f>128-128</f>
        <v>0</v>
      </c>
      <c r="E59" s="23">
        <f t="shared" si="9"/>
        <v>0</v>
      </c>
      <c r="F59" s="18">
        <f t="shared" si="10"/>
        <v>-128</v>
      </c>
      <c r="G59" s="18">
        <f t="shared" si="11"/>
        <v>-100</v>
      </c>
      <c r="H59" s="57"/>
      <c r="I59" s="135"/>
      <c r="J59" s="71"/>
      <c r="K59" s="60"/>
    </row>
    <row r="60" spans="1:11" s="4" customFormat="1" ht="19.95" customHeight="1">
      <c r="A60" s="15" t="s">
        <v>57</v>
      </c>
      <c r="B60" s="21" t="s">
        <v>153</v>
      </c>
      <c r="C60" s="70">
        <v>130</v>
      </c>
      <c r="D60" s="68">
        <f>130-130</f>
        <v>0</v>
      </c>
      <c r="E60" s="23">
        <f t="shared" si="9"/>
        <v>0</v>
      </c>
      <c r="F60" s="18">
        <f t="shared" si="10"/>
        <v>-130</v>
      </c>
      <c r="G60" s="18">
        <f t="shared" si="11"/>
        <v>-100</v>
      </c>
      <c r="H60" s="57"/>
      <c r="I60" s="136"/>
      <c r="J60" s="71"/>
      <c r="K60" s="60"/>
    </row>
    <row r="61" spans="1:11" s="4" customFormat="1" ht="19.95" customHeight="1">
      <c r="A61" s="36" t="s">
        <v>58</v>
      </c>
      <c r="B61" s="21" t="s">
        <v>154</v>
      </c>
      <c r="C61" s="37">
        <v>7477</v>
      </c>
      <c r="D61" s="72">
        <f>7477-1000</f>
        <v>6477</v>
      </c>
      <c r="E61" s="23">
        <f t="shared" si="9"/>
        <v>86.62565199946502</v>
      </c>
      <c r="F61" s="18">
        <f t="shared" si="10"/>
        <v>-1000</v>
      </c>
      <c r="G61" s="18">
        <f t="shared" si="11"/>
        <v>-13.37434800053498</v>
      </c>
      <c r="H61" s="73"/>
      <c r="I61" s="134" t="s">
        <v>53</v>
      </c>
      <c r="J61" s="59"/>
      <c r="K61" s="60"/>
    </row>
    <row r="62" spans="1:11" s="4" customFormat="1" ht="36.75" customHeight="1">
      <c r="A62" s="15" t="s">
        <v>59</v>
      </c>
      <c r="B62" s="106" t="s">
        <v>155</v>
      </c>
      <c r="C62" s="74">
        <v>51</v>
      </c>
      <c r="D62" s="68">
        <f>51-51</f>
        <v>0</v>
      </c>
      <c r="E62" s="23">
        <f t="shared" si="9"/>
        <v>0</v>
      </c>
      <c r="F62" s="18">
        <f t="shared" si="10"/>
        <v>-51</v>
      </c>
      <c r="G62" s="18">
        <f t="shared" si="11"/>
        <v>-100</v>
      </c>
      <c r="H62" s="57"/>
      <c r="I62" s="135"/>
      <c r="J62" s="71"/>
      <c r="K62" s="60"/>
    </row>
    <row r="63" spans="1:11" s="4" customFormat="1" ht="19.95" customHeight="1">
      <c r="A63" s="15" t="s">
        <v>60</v>
      </c>
      <c r="B63" s="106" t="s">
        <v>156</v>
      </c>
      <c r="C63" s="70">
        <v>92</v>
      </c>
      <c r="D63" s="68">
        <f>92-92</f>
        <v>0</v>
      </c>
      <c r="E63" s="23">
        <f t="shared" si="9"/>
        <v>0</v>
      </c>
      <c r="F63" s="18">
        <f t="shared" si="10"/>
        <v>-92</v>
      </c>
      <c r="G63" s="18">
        <f t="shared" si="11"/>
        <v>-100</v>
      </c>
      <c r="H63" s="57"/>
      <c r="I63" s="135"/>
      <c r="J63" s="71"/>
      <c r="K63" s="60"/>
    </row>
    <row r="64" spans="1:11" s="4" customFormat="1" ht="19.95" customHeight="1">
      <c r="A64" s="15" t="s">
        <v>61</v>
      </c>
      <c r="B64" s="106" t="s">
        <v>157</v>
      </c>
      <c r="C64" s="70">
        <v>78</v>
      </c>
      <c r="D64" s="68">
        <f>78-78</f>
        <v>0</v>
      </c>
      <c r="E64" s="23">
        <f t="shared" si="9"/>
        <v>0</v>
      </c>
      <c r="F64" s="18">
        <f t="shared" si="10"/>
        <v>-78</v>
      </c>
      <c r="G64" s="18">
        <f t="shared" si="11"/>
        <v>-100</v>
      </c>
      <c r="H64" s="57"/>
      <c r="I64" s="135"/>
      <c r="J64" s="71"/>
      <c r="K64" s="60"/>
    </row>
    <row r="65" spans="1:11" s="4" customFormat="1" ht="19.95" customHeight="1">
      <c r="A65" s="15" t="s">
        <v>62</v>
      </c>
      <c r="B65" s="29" t="s">
        <v>158</v>
      </c>
      <c r="C65" s="70">
        <v>116</v>
      </c>
      <c r="D65" s="68">
        <f>116-116</f>
        <v>0</v>
      </c>
      <c r="E65" s="23">
        <f t="shared" si="9"/>
        <v>0</v>
      </c>
      <c r="F65" s="18">
        <f t="shared" si="10"/>
        <v>-116</v>
      </c>
      <c r="G65" s="18">
        <f t="shared" si="11"/>
        <v>-100</v>
      </c>
      <c r="H65" s="57"/>
      <c r="I65" s="135"/>
      <c r="J65" s="71"/>
      <c r="K65" s="60"/>
    </row>
    <row r="66" spans="1:11" s="4" customFormat="1" ht="19.95" customHeight="1">
      <c r="A66" s="15" t="s">
        <v>63</v>
      </c>
      <c r="B66" s="29" t="s">
        <v>159</v>
      </c>
      <c r="C66" s="70">
        <v>73</v>
      </c>
      <c r="D66" s="68">
        <f>73-0</f>
        <v>73</v>
      </c>
      <c r="E66" s="23">
        <f t="shared" si="9"/>
        <v>100</v>
      </c>
      <c r="F66" s="18">
        <f t="shared" si="10"/>
        <v>0</v>
      </c>
      <c r="G66" s="18">
        <f t="shared" si="11"/>
        <v>0</v>
      </c>
      <c r="H66" s="75"/>
      <c r="I66" s="76"/>
      <c r="J66" s="71"/>
      <c r="K66" s="60"/>
    </row>
    <row r="67" spans="1:11" s="4" customFormat="1" ht="27" customHeight="1">
      <c r="A67" s="15" t="s">
        <v>64</v>
      </c>
      <c r="B67" s="29" t="s">
        <v>203</v>
      </c>
      <c r="C67" s="113" t="s">
        <v>190</v>
      </c>
      <c r="D67" s="68">
        <f>210+213</f>
        <v>423</v>
      </c>
      <c r="E67" s="23"/>
      <c r="F67" s="18">
        <f>D67</f>
        <v>423</v>
      </c>
      <c r="G67" s="18"/>
      <c r="H67" s="75"/>
      <c r="I67" s="76"/>
      <c r="J67" s="71"/>
      <c r="K67" s="60"/>
    </row>
    <row r="68" spans="1:11" s="4" customFormat="1" ht="31.5" customHeight="1">
      <c r="A68" s="15" t="s">
        <v>65</v>
      </c>
      <c r="B68" s="29" t="s">
        <v>160</v>
      </c>
      <c r="C68" s="113" t="s">
        <v>190</v>
      </c>
      <c r="D68" s="68">
        <v>89</v>
      </c>
      <c r="E68" s="23"/>
      <c r="F68" s="18">
        <f t="shared" ref="F68:F70" si="12">D68</f>
        <v>89</v>
      </c>
      <c r="G68" s="18"/>
      <c r="H68" s="75"/>
      <c r="I68" s="76"/>
      <c r="J68" s="71"/>
      <c r="K68" s="60"/>
    </row>
    <row r="69" spans="1:11" s="4" customFormat="1" ht="25.5" customHeight="1">
      <c r="A69" s="15" t="s">
        <v>66</v>
      </c>
      <c r="B69" s="29" t="s">
        <v>161</v>
      </c>
      <c r="C69" s="113" t="s">
        <v>190</v>
      </c>
      <c r="D69" s="68">
        <v>90</v>
      </c>
      <c r="E69" s="23"/>
      <c r="F69" s="18">
        <f t="shared" si="12"/>
        <v>90</v>
      </c>
      <c r="G69" s="18"/>
      <c r="H69" s="75"/>
      <c r="I69" s="76"/>
      <c r="J69" s="71"/>
      <c r="K69" s="60"/>
    </row>
    <row r="70" spans="1:11" s="4" customFormat="1" ht="27.75" customHeight="1">
      <c r="A70" s="15" t="s">
        <v>67</v>
      </c>
      <c r="B70" s="29" t="s">
        <v>204</v>
      </c>
      <c r="C70" s="113" t="s">
        <v>190</v>
      </c>
      <c r="D70" s="68">
        <v>795</v>
      </c>
      <c r="E70" s="23"/>
      <c r="F70" s="18">
        <f t="shared" si="12"/>
        <v>795</v>
      </c>
      <c r="G70" s="18"/>
      <c r="H70" s="75"/>
      <c r="I70" s="76"/>
      <c r="J70" s="71"/>
      <c r="K70" s="60"/>
    </row>
    <row r="71" spans="1:11" s="28" customFormat="1" ht="19.95" customHeight="1">
      <c r="A71" s="115"/>
      <c r="B71" s="105" t="s">
        <v>205</v>
      </c>
      <c r="C71" s="94">
        <f>SUM(C56:C66)</f>
        <v>9842</v>
      </c>
      <c r="D71" s="94">
        <f>SUM(D56:D70)</f>
        <v>8302</v>
      </c>
      <c r="E71" s="94">
        <f>D71/C71*100</f>
        <v>84.352773826458034</v>
      </c>
      <c r="F71" s="94">
        <f t="shared" ref="F71" si="13">D71-C71</f>
        <v>-1540</v>
      </c>
      <c r="G71" s="94">
        <f t="shared" ref="G71" si="14">D71/C71*100-100</f>
        <v>-15.647226173541966</v>
      </c>
      <c r="H71" s="116"/>
      <c r="I71" s="87"/>
      <c r="J71" s="26"/>
      <c r="K71" s="27"/>
    </row>
    <row r="72" spans="1:11" s="4" customFormat="1" ht="19.95" customHeight="1">
      <c r="A72" s="15"/>
      <c r="B72" s="123" t="s">
        <v>162</v>
      </c>
      <c r="C72" s="18"/>
      <c r="D72" s="101"/>
      <c r="E72" s="18"/>
      <c r="F72" s="18"/>
      <c r="G72" s="18"/>
      <c r="H72" s="66"/>
      <c r="I72" s="66"/>
      <c r="J72" s="59"/>
      <c r="K72" s="60"/>
    </row>
    <row r="73" spans="1:11" s="4" customFormat="1" ht="18" customHeight="1">
      <c r="A73" s="15" t="s">
        <v>68</v>
      </c>
      <c r="B73" s="29" t="s">
        <v>163</v>
      </c>
      <c r="C73" s="18">
        <v>1719</v>
      </c>
      <c r="D73" s="18">
        <f>1705-1144</f>
        <v>561</v>
      </c>
      <c r="E73" s="23">
        <f t="shared" ref="E73:E77" si="15">D73/C73*100</f>
        <v>32.63525305410122</v>
      </c>
      <c r="F73" s="18">
        <f t="shared" ref="F73:F78" si="16">D73-C73</f>
        <v>-1158</v>
      </c>
      <c r="G73" s="18">
        <f t="shared" ref="G73:G78" si="17">D73/C73*100-100</f>
        <v>-67.364746945898787</v>
      </c>
      <c r="H73" s="58"/>
      <c r="I73" s="137" t="s">
        <v>69</v>
      </c>
      <c r="J73" s="71"/>
      <c r="K73" s="60"/>
    </row>
    <row r="74" spans="1:11" s="4" customFormat="1" ht="16.2" customHeight="1">
      <c r="A74" s="15" t="s">
        <v>70</v>
      </c>
      <c r="B74" s="29" t="s">
        <v>164</v>
      </c>
      <c r="C74" s="18">
        <v>160</v>
      </c>
      <c r="D74" s="77">
        <f>160-160</f>
        <v>0</v>
      </c>
      <c r="E74" s="23">
        <f t="shared" si="15"/>
        <v>0</v>
      </c>
      <c r="F74" s="18">
        <f t="shared" si="16"/>
        <v>-160</v>
      </c>
      <c r="G74" s="18">
        <f t="shared" si="17"/>
        <v>-100</v>
      </c>
      <c r="H74" s="101"/>
      <c r="I74" s="136"/>
      <c r="J74" s="59"/>
      <c r="K74" s="60"/>
    </row>
    <row r="75" spans="1:11" s="4" customFormat="1" ht="32.4" customHeight="1">
      <c r="A75" s="15" t="s">
        <v>71</v>
      </c>
      <c r="B75" s="29" t="s">
        <v>165</v>
      </c>
      <c r="C75" s="18">
        <v>11882</v>
      </c>
      <c r="D75" s="56">
        <f>11882-11882</f>
        <v>0</v>
      </c>
      <c r="E75" s="23">
        <f t="shared" si="15"/>
        <v>0</v>
      </c>
      <c r="F75" s="18">
        <f t="shared" si="16"/>
        <v>-11882</v>
      </c>
      <c r="G75" s="18">
        <f t="shared" si="17"/>
        <v>-100</v>
      </c>
      <c r="H75" s="58"/>
      <c r="I75" s="77" t="s">
        <v>72</v>
      </c>
      <c r="J75" s="59"/>
      <c r="K75" s="60"/>
    </row>
    <row r="76" spans="1:11" s="4" customFormat="1" ht="16.95" customHeight="1">
      <c r="A76" s="15" t="s">
        <v>73</v>
      </c>
      <c r="B76" s="29" t="s">
        <v>206</v>
      </c>
      <c r="C76" s="18">
        <v>860</v>
      </c>
      <c r="D76" s="56">
        <v>860</v>
      </c>
      <c r="E76" s="23">
        <f t="shared" si="15"/>
        <v>100</v>
      </c>
      <c r="F76" s="18">
        <f t="shared" si="16"/>
        <v>0</v>
      </c>
      <c r="G76" s="18">
        <f t="shared" si="17"/>
        <v>0</v>
      </c>
      <c r="H76" s="58"/>
      <c r="I76" s="77" t="s">
        <v>74</v>
      </c>
      <c r="J76" s="59"/>
      <c r="K76" s="60"/>
    </row>
    <row r="77" spans="1:11" s="4" customFormat="1" ht="33.6" customHeight="1">
      <c r="A77" s="15" t="s">
        <v>75</v>
      </c>
      <c r="B77" s="29" t="s">
        <v>166</v>
      </c>
      <c r="C77" s="18">
        <v>3131</v>
      </c>
      <c r="D77" s="56">
        <v>3131</v>
      </c>
      <c r="E77" s="23">
        <f t="shared" si="15"/>
        <v>100</v>
      </c>
      <c r="F77" s="18">
        <f t="shared" si="16"/>
        <v>0</v>
      </c>
      <c r="G77" s="18">
        <f t="shared" si="17"/>
        <v>0</v>
      </c>
      <c r="H77" s="58">
        <v>3131</v>
      </c>
      <c r="I77" s="77" t="s">
        <v>69</v>
      </c>
      <c r="J77" s="59"/>
      <c r="K77" s="60"/>
    </row>
    <row r="78" spans="1:11" s="28" customFormat="1" ht="19.95" customHeight="1">
      <c r="A78" s="115"/>
      <c r="B78" s="105" t="s">
        <v>207</v>
      </c>
      <c r="C78" s="94">
        <f>SUM(C73:C77)</f>
        <v>17752</v>
      </c>
      <c r="D78" s="94">
        <f>SUM(D73:D77)</f>
        <v>4552</v>
      </c>
      <c r="E78" s="94">
        <f>D78/C78*100</f>
        <v>25.642181162685894</v>
      </c>
      <c r="F78" s="94">
        <f t="shared" si="16"/>
        <v>-13200</v>
      </c>
      <c r="G78" s="94">
        <f t="shared" si="17"/>
        <v>-74.357818837314113</v>
      </c>
      <c r="H78" s="116">
        <f>SUM(H73:H77)</f>
        <v>3131</v>
      </c>
      <c r="I78" s="87"/>
      <c r="J78" s="26"/>
      <c r="K78" s="27"/>
    </row>
    <row r="79" spans="1:11" s="4" customFormat="1" ht="16.2" customHeight="1">
      <c r="A79" s="78"/>
      <c r="B79" s="105" t="s">
        <v>167</v>
      </c>
      <c r="C79" s="18"/>
      <c r="D79" s="101"/>
      <c r="E79" s="18"/>
      <c r="F79" s="18"/>
      <c r="G79" s="18"/>
      <c r="H79" s="66"/>
      <c r="I79" s="66"/>
      <c r="J79" s="59"/>
      <c r="K79" s="60"/>
    </row>
    <row r="80" spans="1:11" s="4" customFormat="1" ht="16.8" customHeight="1">
      <c r="A80" s="78" t="s">
        <v>76</v>
      </c>
      <c r="B80" s="21" t="s">
        <v>168</v>
      </c>
      <c r="C80" s="56">
        <v>5029</v>
      </c>
      <c r="D80" s="56">
        <f>5029-5029</f>
        <v>0</v>
      </c>
      <c r="E80" s="23">
        <f t="shared" ref="E80:E91" si="18">D80/C80*100</f>
        <v>0</v>
      </c>
      <c r="F80" s="18">
        <f t="shared" ref="F80:F91" si="19">D80-C80</f>
        <v>-5029</v>
      </c>
      <c r="G80" s="18">
        <f t="shared" ref="G80:G91" si="20">D80/C80*100-100</f>
        <v>-100</v>
      </c>
      <c r="H80" s="57"/>
      <c r="I80" s="138" t="s">
        <v>77</v>
      </c>
      <c r="J80" s="59"/>
      <c r="K80" s="79"/>
    </row>
    <row r="81" spans="1:11" s="4" customFormat="1" ht="18" customHeight="1">
      <c r="A81" s="78" t="s">
        <v>78</v>
      </c>
      <c r="B81" s="21" t="s">
        <v>169</v>
      </c>
      <c r="C81" s="56">
        <v>4754</v>
      </c>
      <c r="D81" s="56">
        <f>4754-4754</f>
        <v>0</v>
      </c>
      <c r="E81" s="23">
        <f t="shared" si="18"/>
        <v>0</v>
      </c>
      <c r="F81" s="18">
        <f t="shared" si="19"/>
        <v>-4754</v>
      </c>
      <c r="G81" s="18">
        <f t="shared" si="20"/>
        <v>-100</v>
      </c>
      <c r="H81" s="57"/>
      <c r="I81" s="138"/>
      <c r="J81" s="59"/>
      <c r="K81" s="60"/>
    </row>
    <row r="82" spans="1:11" s="4" customFormat="1" ht="17.399999999999999" customHeight="1">
      <c r="A82" s="78" t="s">
        <v>79</v>
      </c>
      <c r="B82" s="21" t="s">
        <v>208</v>
      </c>
      <c r="C82" s="56">
        <v>8574</v>
      </c>
      <c r="D82" s="56">
        <f>8574-8574</f>
        <v>0</v>
      </c>
      <c r="E82" s="23">
        <f t="shared" si="18"/>
        <v>0</v>
      </c>
      <c r="F82" s="18">
        <f t="shared" si="19"/>
        <v>-8574</v>
      </c>
      <c r="G82" s="18">
        <f t="shared" si="20"/>
        <v>-100</v>
      </c>
      <c r="H82" s="57"/>
      <c r="I82" s="138"/>
      <c r="J82" s="71"/>
      <c r="K82" s="60"/>
    </row>
    <row r="83" spans="1:11" s="4" customFormat="1" ht="16.2" customHeight="1">
      <c r="A83" s="78" t="s">
        <v>80</v>
      </c>
      <c r="B83" s="21" t="s">
        <v>170</v>
      </c>
      <c r="C83" s="56">
        <v>2545</v>
      </c>
      <c r="D83" s="56">
        <f>2545-0</f>
        <v>2545</v>
      </c>
      <c r="E83" s="23">
        <f t="shared" si="18"/>
        <v>100</v>
      </c>
      <c r="F83" s="18">
        <f t="shared" si="19"/>
        <v>0</v>
      </c>
      <c r="G83" s="18">
        <f t="shared" si="20"/>
        <v>0</v>
      </c>
      <c r="H83" s="57"/>
      <c r="I83" s="138"/>
      <c r="J83" s="71"/>
      <c r="K83" s="60"/>
    </row>
    <row r="84" spans="1:11" s="4" customFormat="1" ht="19.95" customHeight="1">
      <c r="A84" s="78" t="s">
        <v>81</v>
      </c>
      <c r="B84" s="21" t="s">
        <v>171</v>
      </c>
      <c r="C84" s="56">
        <v>693</v>
      </c>
      <c r="D84" s="56">
        <f>693-0</f>
        <v>693</v>
      </c>
      <c r="E84" s="23">
        <f t="shared" si="18"/>
        <v>100</v>
      </c>
      <c r="F84" s="18">
        <f t="shared" si="19"/>
        <v>0</v>
      </c>
      <c r="G84" s="18">
        <f t="shared" si="20"/>
        <v>0</v>
      </c>
      <c r="H84" s="57"/>
      <c r="I84" s="138"/>
      <c r="J84" s="71"/>
      <c r="K84" s="60"/>
    </row>
    <row r="85" spans="1:11" s="4" customFormat="1" ht="19.95" customHeight="1">
      <c r="A85" s="78" t="s">
        <v>82</v>
      </c>
      <c r="B85" s="21" t="s">
        <v>209</v>
      </c>
      <c r="C85" s="56">
        <v>17400</v>
      </c>
      <c r="D85" s="56">
        <f>17400-17400</f>
        <v>0</v>
      </c>
      <c r="E85" s="23">
        <f t="shared" si="18"/>
        <v>0</v>
      </c>
      <c r="F85" s="18">
        <f t="shared" si="19"/>
        <v>-17400</v>
      </c>
      <c r="G85" s="18">
        <f t="shared" si="20"/>
        <v>-100</v>
      </c>
      <c r="H85" s="57"/>
      <c r="I85" s="138"/>
      <c r="J85" s="59"/>
      <c r="K85" s="60"/>
    </row>
    <row r="86" spans="1:11" s="4" customFormat="1" ht="19.95" customHeight="1">
      <c r="A86" s="78" t="s">
        <v>83</v>
      </c>
      <c r="B86" s="21" t="s">
        <v>172</v>
      </c>
      <c r="C86" s="56">
        <v>21429</v>
      </c>
      <c r="D86" s="56">
        <f>21429</f>
        <v>21429</v>
      </c>
      <c r="E86" s="23">
        <f t="shared" si="18"/>
        <v>100</v>
      </c>
      <c r="F86" s="18">
        <f t="shared" si="19"/>
        <v>0</v>
      </c>
      <c r="G86" s="18">
        <f t="shared" si="20"/>
        <v>0</v>
      </c>
      <c r="H86" s="57"/>
      <c r="I86" s="138"/>
      <c r="J86" s="59"/>
      <c r="K86" s="60"/>
    </row>
    <row r="87" spans="1:11" s="4" customFormat="1" ht="21" customHeight="1">
      <c r="A87" s="78" t="s">
        <v>84</v>
      </c>
      <c r="B87" s="107" t="s">
        <v>173</v>
      </c>
      <c r="C87" s="56">
        <v>7629</v>
      </c>
      <c r="D87" s="56">
        <f>5700</f>
        <v>5700</v>
      </c>
      <c r="E87" s="23">
        <f t="shared" si="18"/>
        <v>74.714903657097921</v>
      </c>
      <c r="F87" s="18">
        <f t="shared" si="19"/>
        <v>-1929</v>
      </c>
      <c r="G87" s="18">
        <f t="shared" si="20"/>
        <v>-25.285096342902079</v>
      </c>
      <c r="H87" s="57"/>
      <c r="I87" s="138"/>
      <c r="J87" s="59"/>
      <c r="K87" s="60"/>
    </row>
    <row r="88" spans="1:11" s="83" customFormat="1" ht="19.95" customHeight="1">
      <c r="A88" s="80" t="s">
        <v>85</v>
      </c>
      <c r="B88" s="108" t="s">
        <v>174</v>
      </c>
      <c r="C88" s="18">
        <v>6500</v>
      </c>
      <c r="D88" s="18">
        <f>6500-6500</f>
        <v>0</v>
      </c>
      <c r="E88" s="23">
        <f t="shared" si="18"/>
        <v>0</v>
      </c>
      <c r="F88" s="18">
        <f t="shared" si="19"/>
        <v>-6500</v>
      </c>
      <c r="G88" s="18">
        <f t="shared" si="20"/>
        <v>-100</v>
      </c>
      <c r="H88" s="57"/>
      <c r="I88" s="138"/>
      <c r="J88" s="81"/>
      <c r="K88" s="82"/>
    </row>
    <row r="89" spans="1:11" s="83" customFormat="1" ht="19.95" customHeight="1">
      <c r="A89" s="80" t="s">
        <v>86</v>
      </c>
      <c r="B89" s="108" t="s">
        <v>175</v>
      </c>
      <c r="C89" s="18">
        <v>14732</v>
      </c>
      <c r="D89" s="18">
        <f>14732-14732</f>
        <v>0</v>
      </c>
      <c r="E89" s="23">
        <f t="shared" si="18"/>
        <v>0</v>
      </c>
      <c r="F89" s="18">
        <f t="shared" si="19"/>
        <v>-14732</v>
      </c>
      <c r="G89" s="18">
        <f t="shared" si="20"/>
        <v>-100</v>
      </c>
      <c r="H89" s="57"/>
      <c r="I89" s="138"/>
      <c r="J89" s="81"/>
      <c r="K89" s="82"/>
    </row>
    <row r="90" spans="1:11" s="83" customFormat="1" ht="19.95" customHeight="1">
      <c r="A90" s="80" t="s">
        <v>87</v>
      </c>
      <c r="B90" s="108" t="s">
        <v>176</v>
      </c>
      <c r="C90" s="18">
        <v>14100</v>
      </c>
      <c r="D90" s="18">
        <f>14100-0</f>
        <v>14100</v>
      </c>
      <c r="E90" s="23">
        <f t="shared" si="18"/>
        <v>100</v>
      </c>
      <c r="F90" s="18">
        <f t="shared" si="19"/>
        <v>0</v>
      </c>
      <c r="G90" s="18">
        <f t="shared" si="20"/>
        <v>0</v>
      </c>
      <c r="H90" s="57"/>
      <c r="I90" s="138"/>
      <c r="J90" s="84"/>
      <c r="K90" s="82"/>
    </row>
    <row r="91" spans="1:11" s="83" customFormat="1" ht="18.75" customHeight="1">
      <c r="A91" s="80" t="s">
        <v>88</v>
      </c>
      <c r="B91" s="108" t="s">
        <v>210</v>
      </c>
      <c r="C91" s="18">
        <v>5179</v>
      </c>
      <c r="D91" s="18">
        <v>5179</v>
      </c>
      <c r="E91" s="23">
        <f t="shared" si="18"/>
        <v>100</v>
      </c>
      <c r="F91" s="18">
        <f t="shared" si="19"/>
        <v>0</v>
      </c>
      <c r="G91" s="18">
        <f t="shared" si="20"/>
        <v>0</v>
      </c>
      <c r="H91" s="69">
        <v>5179</v>
      </c>
      <c r="I91" s="138"/>
      <c r="J91" s="84"/>
      <c r="K91" s="82"/>
    </row>
    <row r="92" spans="1:11" s="83" customFormat="1" ht="29.4" customHeight="1">
      <c r="A92" s="80" t="s">
        <v>89</v>
      </c>
      <c r="B92" s="108" t="s">
        <v>177</v>
      </c>
      <c r="C92" s="52" t="s">
        <v>190</v>
      </c>
      <c r="D92" s="18">
        <v>4281</v>
      </c>
      <c r="E92" s="23"/>
      <c r="F92" s="18">
        <f>D92</f>
        <v>4281</v>
      </c>
      <c r="G92" s="18"/>
      <c r="H92" s="69"/>
      <c r="I92" s="101"/>
      <c r="J92" s="84"/>
      <c r="K92" s="82"/>
    </row>
    <row r="93" spans="1:11" s="28" customFormat="1" ht="19.95" customHeight="1">
      <c r="A93" s="115"/>
      <c r="B93" s="105" t="s">
        <v>211</v>
      </c>
      <c r="C93" s="94">
        <f>SUM(C80:C92)</f>
        <v>108564</v>
      </c>
      <c r="D93" s="94">
        <f>SUM(D80:D92)</f>
        <v>53927</v>
      </c>
      <c r="E93" s="94">
        <f>D93/C93*100</f>
        <v>49.673003942375004</v>
      </c>
      <c r="F93" s="94">
        <f t="shared" ref="F93" si="21">D93-C93</f>
        <v>-54637</v>
      </c>
      <c r="G93" s="94">
        <f t="shared" ref="G93" si="22">D93/C93*100-100</f>
        <v>-50.326996057624996</v>
      </c>
      <c r="H93" s="116">
        <f>SUM(H80:H91)</f>
        <v>5179</v>
      </c>
      <c r="I93" s="87"/>
      <c r="J93" s="26"/>
      <c r="K93" s="27"/>
    </row>
    <row r="94" spans="1:11" s="65" customFormat="1" ht="16.8" customHeight="1">
      <c r="A94" s="15"/>
      <c r="B94" s="105" t="s">
        <v>178</v>
      </c>
      <c r="C94" s="16"/>
      <c r="D94" s="16"/>
      <c r="E94" s="16"/>
      <c r="F94" s="18"/>
      <c r="G94" s="18"/>
      <c r="H94" s="61"/>
      <c r="I94" s="62" t="s">
        <v>90</v>
      </c>
      <c r="J94" s="63"/>
      <c r="K94" s="64"/>
    </row>
    <row r="95" spans="1:11" ht="19.95" customHeight="1">
      <c r="A95" s="85" t="s">
        <v>91</v>
      </c>
      <c r="B95" s="87" t="s">
        <v>179</v>
      </c>
      <c r="C95" s="77">
        <v>335</v>
      </c>
      <c r="D95" s="17"/>
      <c r="E95" s="23">
        <f t="shared" ref="E95:E103" si="23">D95/C95*100</f>
        <v>0</v>
      </c>
      <c r="F95" s="18">
        <f t="shared" ref="F95:F103" si="24">D95-C95</f>
        <v>-335</v>
      </c>
      <c r="G95" s="18">
        <f t="shared" ref="G95:G103" si="25">D95/C95*100-100</f>
        <v>-100</v>
      </c>
      <c r="H95" s="19"/>
      <c r="I95" s="139"/>
    </row>
    <row r="96" spans="1:11" ht="17.399999999999999" customHeight="1">
      <c r="A96" s="85" t="s">
        <v>92</v>
      </c>
      <c r="B96" s="109" t="s">
        <v>180</v>
      </c>
      <c r="C96" s="77">
        <v>120</v>
      </c>
      <c r="D96" s="86">
        <v>120</v>
      </c>
      <c r="E96" s="23">
        <f t="shared" si="23"/>
        <v>100</v>
      </c>
      <c r="F96" s="18">
        <f t="shared" si="24"/>
        <v>0</v>
      </c>
      <c r="G96" s="18">
        <f t="shared" si="25"/>
        <v>0</v>
      </c>
      <c r="H96" s="19"/>
      <c r="I96" s="139"/>
    </row>
    <row r="97" spans="1:11" ht="17.399999999999999" customHeight="1">
      <c r="A97" s="85" t="s">
        <v>93</v>
      </c>
      <c r="B97" s="110" t="s">
        <v>181</v>
      </c>
      <c r="C97" s="77">
        <v>750</v>
      </c>
      <c r="D97" s="88"/>
      <c r="E97" s="23">
        <f t="shared" si="23"/>
        <v>0</v>
      </c>
      <c r="F97" s="18">
        <f t="shared" si="24"/>
        <v>-750</v>
      </c>
      <c r="G97" s="18">
        <f t="shared" si="25"/>
        <v>-100</v>
      </c>
      <c r="H97" s="89"/>
      <c r="I97" s="139"/>
    </row>
    <row r="98" spans="1:11" ht="19.95" customHeight="1">
      <c r="A98" s="85" t="s">
        <v>94</v>
      </c>
      <c r="B98" s="110" t="s">
        <v>182</v>
      </c>
      <c r="C98" s="77">
        <v>69</v>
      </c>
      <c r="D98" s="88"/>
      <c r="E98" s="23">
        <f t="shared" si="23"/>
        <v>0</v>
      </c>
      <c r="F98" s="18">
        <f t="shared" si="24"/>
        <v>-69</v>
      </c>
      <c r="G98" s="18">
        <f t="shared" si="25"/>
        <v>-100</v>
      </c>
      <c r="H98" s="89"/>
      <c r="I98" s="139"/>
    </row>
    <row r="99" spans="1:11" ht="16.8" customHeight="1">
      <c r="A99" s="85" t="s">
        <v>95</v>
      </c>
      <c r="B99" s="32" t="s">
        <v>183</v>
      </c>
      <c r="C99" s="77">
        <v>115</v>
      </c>
      <c r="D99" s="88"/>
      <c r="E99" s="23">
        <f t="shared" si="23"/>
        <v>0</v>
      </c>
      <c r="F99" s="18">
        <f t="shared" si="24"/>
        <v>-115</v>
      </c>
      <c r="G99" s="18">
        <f t="shared" si="25"/>
        <v>-100</v>
      </c>
      <c r="H99" s="89"/>
      <c r="I99" s="139"/>
    </row>
    <row r="100" spans="1:11" ht="16.8" customHeight="1">
      <c r="A100" s="85" t="s">
        <v>96</v>
      </c>
      <c r="B100" s="111" t="s">
        <v>184</v>
      </c>
      <c r="C100" s="77">
        <v>72</v>
      </c>
      <c r="D100" s="88"/>
      <c r="E100" s="23">
        <f t="shared" si="23"/>
        <v>0</v>
      </c>
      <c r="F100" s="18">
        <f t="shared" si="24"/>
        <v>-72</v>
      </c>
      <c r="G100" s="18">
        <f t="shared" si="25"/>
        <v>-100</v>
      </c>
      <c r="H100" s="89"/>
      <c r="I100" s="139"/>
    </row>
    <row r="101" spans="1:11" ht="19.95" customHeight="1">
      <c r="A101" s="85" t="s">
        <v>97</v>
      </c>
      <c r="B101" s="111" t="s">
        <v>185</v>
      </c>
      <c r="C101" s="77">
        <v>79</v>
      </c>
      <c r="D101" s="86"/>
      <c r="E101" s="23">
        <f t="shared" si="23"/>
        <v>0</v>
      </c>
      <c r="F101" s="18">
        <f t="shared" si="24"/>
        <v>-79</v>
      </c>
      <c r="G101" s="18">
        <f t="shared" si="25"/>
        <v>-100</v>
      </c>
      <c r="H101" s="124"/>
      <c r="I101" s="139"/>
    </row>
    <row r="102" spans="1:11" ht="19.95" customHeight="1">
      <c r="A102" s="85" t="s">
        <v>98</v>
      </c>
      <c r="B102" s="111" t="s">
        <v>186</v>
      </c>
      <c r="C102" s="77">
        <v>59</v>
      </c>
      <c r="D102" s="86"/>
      <c r="E102" s="23">
        <f t="shared" si="23"/>
        <v>0</v>
      </c>
      <c r="F102" s="18">
        <f t="shared" si="24"/>
        <v>-59</v>
      </c>
      <c r="G102" s="18">
        <f t="shared" si="25"/>
        <v>-100</v>
      </c>
      <c r="H102" s="125"/>
      <c r="I102" s="139"/>
    </row>
    <row r="103" spans="1:11" ht="16.8" customHeight="1">
      <c r="A103" s="85" t="s">
        <v>99</v>
      </c>
      <c r="B103" s="111" t="s">
        <v>187</v>
      </c>
      <c r="C103" s="77">
        <v>179</v>
      </c>
      <c r="D103" s="86"/>
      <c r="E103" s="23">
        <f t="shared" si="23"/>
        <v>0</v>
      </c>
      <c r="F103" s="18">
        <f t="shared" si="24"/>
        <v>-179</v>
      </c>
      <c r="G103" s="18">
        <f t="shared" si="25"/>
        <v>-100</v>
      </c>
      <c r="H103" s="126"/>
      <c r="I103" s="139"/>
    </row>
    <row r="104" spans="1:11" ht="29.4" customHeight="1">
      <c r="A104" s="85" t="s">
        <v>101</v>
      </c>
      <c r="B104" s="32" t="s">
        <v>188</v>
      </c>
      <c r="C104" s="52" t="s">
        <v>190</v>
      </c>
      <c r="D104" s="86">
        <v>112</v>
      </c>
      <c r="E104" s="24"/>
      <c r="F104" s="18">
        <f>D104</f>
        <v>112</v>
      </c>
      <c r="G104" s="18"/>
      <c r="H104" s="103"/>
      <c r="I104" s="102"/>
    </row>
    <row r="105" spans="1:11" s="28" customFormat="1" ht="19.95" customHeight="1">
      <c r="A105" s="115"/>
      <c r="B105" s="105" t="s">
        <v>212</v>
      </c>
      <c r="C105" s="94">
        <f>SUM(C95:C103)</f>
        <v>1778</v>
      </c>
      <c r="D105" s="94">
        <f>SUM(D95:D104)</f>
        <v>232</v>
      </c>
      <c r="E105" s="94">
        <f>D105/C105*100</f>
        <v>13.048368953880765</v>
      </c>
      <c r="F105" s="94">
        <f t="shared" ref="F105" si="26">D105-C105</f>
        <v>-1546</v>
      </c>
      <c r="G105" s="94">
        <f t="shared" ref="G105" si="27">D105/C105*100-100</f>
        <v>-86.951631046119232</v>
      </c>
      <c r="H105" s="121"/>
      <c r="I105" s="112"/>
      <c r="J105" s="26"/>
      <c r="K105" s="27"/>
    </row>
    <row r="106" spans="1:11" s="28" customFormat="1" ht="19.95" customHeight="1">
      <c r="A106" s="115"/>
      <c r="B106" s="105" t="s">
        <v>189</v>
      </c>
      <c r="C106" s="94">
        <f>C17+C37+C54+C71+C78+C93+C105</f>
        <v>1519637.5</v>
      </c>
      <c r="D106" s="94">
        <f>D17+D37+D54+D71+D78+D93+D105</f>
        <v>1185910.5</v>
      </c>
      <c r="E106" s="94">
        <f>D106/C106*100</f>
        <v>78.039038915530838</v>
      </c>
      <c r="F106" s="94">
        <f>D106-C106</f>
        <v>-333727</v>
      </c>
      <c r="G106" s="94">
        <f>C106/C106*100-100</f>
        <v>0</v>
      </c>
      <c r="H106" s="116"/>
      <c r="I106" s="87"/>
      <c r="J106" s="26"/>
      <c r="K106" s="27"/>
    </row>
    <row r="107" spans="1:11" s="96" customFormat="1" ht="18" customHeight="1">
      <c r="A107" s="127"/>
      <c r="B107" s="128"/>
      <c r="C107" s="128"/>
      <c r="D107" s="128"/>
      <c r="E107" s="128"/>
      <c r="F107" s="128"/>
      <c r="G107" s="95"/>
    </row>
    <row r="108" spans="1:11" s="96" customFormat="1" ht="19.95" hidden="1" customHeight="1">
      <c r="A108" s="129"/>
      <c r="B108" s="130"/>
      <c r="C108" s="130"/>
      <c r="D108" s="130"/>
      <c r="E108" s="130"/>
      <c r="F108" s="130"/>
      <c r="G108" s="97"/>
    </row>
    <row r="109" spans="1:11" s="96" customFormat="1" ht="19.95" hidden="1" customHeight="1">
      <c r="G109" s="95"/>
    </row>
    <row r="110" spans="1:11" s="96" customFormat="1" ht="36.75" hidden="1" customHeight="1">
      <c r="B110" s="98" t="s">
        <v>102</v>
      </c>
      <c r="C110" s="99"/>
      <c r="G110" s="95"/>
    </row>
    <row r="111" spans="1:11" s="96" customFormat="1" ht="15.6" hidden="1" customHeight="1">
      <c r="B111" s="98" t="s">
        <v>103</v>
      </c>
      <c r="D111" s="100"/>
      <c r="G111" s="95"/>
    </row>
    <row r="112" spans="1:11" hidden="1">
      <c r="B112" s="90" t="s">
        <v>100</v>
      </c>
    </row>
  </sheetData>
  <mergeCells count="24">
    <mergeCell ref="I49:I50"/>
    <mergeCell ref="A1:I1"/>
    <mergeCell ref="A2:A3"/>
    <mergeCell ref="B2:B3"/>
    <mergeCell ref="C2:C3"/>
    <mergeCell ref="D2:D3"/>
    <mergeCell ref="E2:E3"/>
    <mergeCell ref="F2:G2"/>
    <mergeCell ref="H2:H3"/>
    <mergeCell ref="I2:I3"/>
    <mergeCell ref="I7:I14"/>
    <mergeCell ref="I19:I29"/>
    <mergeCell ref="I30:I36"/>
    <mergeCell ref="I40:I41"/>
    <mergeCell ref="I43:I44"/>
    <mergeCell ref="H101:H103"/>
    <mergeCell ref="A107:F107"/>
    <mergeCell ref="A108:F108"/>
    <mergeCell ref="I51:I53"/>
    <mergeCell ref="I56:I60"/>
    <mergeCell ref="I61:I65"/>
    <mergeCell ref="I73:I74"/>
    <mergeCell ref="I80:I91"/>
    <mergeCell ref="I95:I103"/>
  </mergeCells>
  <pageMargins left="0.23622047244094491" right="0.15748031496062992" top="0.39370078740157483" bottom="0.31496062992125984" header="0.31496062992125984" footer="0.31496062992125984"/>
  <pageSetup paperSize="9" scale="80" orientation="portrait" verticalDpi="0" r:id="rId1"/>
  <rowBreaks count="1" manualBreakCount="1">
    <brk id="3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каз.яз.</vt:lpstr>
      <vt:lpstr>каз.яз.!Заголовки_для_печати</vt:lpstr>
      <vt:lpstr>каз.яз.!Область_печати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</cp:lastModifiedBy>
  <cp:lastPrinted>2016-04-14T09:10:33Z</cp:lastPrinted>
  <dcterms:created xsi:type="dcterms:W3CDTF">2015-12-03T02:37:42Z</dcterms:created>
  <dcterms:modified xsi:type="dcterms:W3CDTF">2016-04-14T10:10:35Z</dcterms:modified>
</cp:coreProperties>
</file>